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IPMw0SQDY6awwxOkNDuuYBYwgICx1eywFcODLkJKuetQGwNi0kpinXXaFtBYmkfDFDv+UQ6xSzch+m+BOBt3fQ==" workbookSaltValue="Oh2QCnKdAs3xHfqKhfEE1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AQ10" i="21"/>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2" i="11"/>
  <c r="BW10" i="20"/>
  <c r="BW12" i="20"/>
  <c r="BU11" i="17"/>
  <c r="BK17" i="11"/>
  <c r="BJ12" i="11"/>
  <c r="BM12" i="11"/>
  <c r="BF10" i="11"/>
  <c r="BM16" i="11"/>
  <c r="BH11" i="16"/>
  <c r="AL16" i="11"/>
  <c r="C16" i="6"/>
  <c r="BE9" i="13"/>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<sst xmlns="http://schemas.openxmlformats.org/spreadsheetml/2006/main" count="2102" uniqueCount="918">
  <si>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</si>
  <si>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</si>
  <si>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</si>
  <si>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</si>
  <si>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</si>
  <si>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</si>
  <si>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</si>
  <si>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</si>
  <si>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</si>
  <si>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</si>
  <si>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</si>
  <si>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</si>
  <si>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</si>
  <si>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</si>
  <si>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</si>
  <si>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</si>
  <si>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</si>
  <si>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</si>
  <si>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</si>
  <si>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</si>
  <si>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</si>
  <si>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</si>
  <si>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</si>
  <si>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</si>
  <si>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</si>
  <si>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</si>
  <si>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</si>
  <si>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</si>
  <si>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</si>
  <si>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</si>
  <si>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</si>
  <si>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</si>
  <si>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</si>
  <si>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</si>
  <si>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</si>
  <si>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</si>
  <si>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</si>
  <si>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</si>
  <si>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</si>
  <si>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</si>
  <si>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</si>
  <si>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</si>
  <si>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</si>
  <si>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</si>
  <si>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</si>
  <si>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</si>
  <si>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</si>
  <si>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</si>
  <si>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</si>
  <si>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</si>
  <si>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</si>
  <si>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</si>
  <si>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</si>
  <si>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</si>
  <si>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</si>
  <si>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</si>
  <si>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</si>
  <si>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</si>
  <si>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</si>
  <si>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</si>
  <si>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</si>
  <si>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</si>
  <si>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</si>
  <si>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</si>
  <si>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</si>
  <si>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</si>
  <si>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</si>
  <si>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</si>
  <si>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</si>
  <si>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</si>
  <si>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</si>
  <si>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</si>
  <si>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</si>
  <si>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</si>
  <si>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</si>
  <si>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</si>
  <si>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</si>
  <si>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</si>
  <si>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</si>
  <si>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</si>
  <si>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</si>
  <si>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</si>
  <si>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</si>
  <si>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</si>
  <si>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</si>
  <si>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</si>
  <si>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</si>
  <si>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</si>
  <si>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</si>
  <si>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</si>
  <si>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</si>
  <si>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</si>
  <si>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</si>
  <si>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</si>
  <si>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</si>
  <si>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</si>
  <si>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</si>
  <si>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</si>
  <si>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</si>
  <si>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</si>
  <si>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</si>
  <si>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</si>
  <si>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</si>
  <si>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</si>
  <si>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</si>
  <si>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</si>
  <si>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</si>
  <si>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</si>
  <si>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</si>
  <si>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</si>
  <si>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</si>
  <si>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</si>
  <si>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</si>
  <si>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</si>
  <si>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</si>
  <si>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</si>
  <si>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</si>
  <si>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</si>
  <si>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</si>
  <si>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</si>
  <si>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</si>
  <si>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</si>
  <si>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</si>
  <si>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</si>
  <si>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</si>
  <si>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</si>
  <si>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</si>
  <si>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</si>
  <si>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</si>
  <si>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</si>
  <si>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</si>
  <si>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</si>
  <si>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</si>
  <si>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</si>
  <si>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</si>
  <si>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</si>
  <si>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</si>
  <si>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</si>
  <si>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</si>
  <si>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</si>
  <si>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</si>
  <si>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</si>
  <si>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</si>
  <si>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</si>
  <si>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</si>
  <si>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</si>
  <si>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</si>
  <si>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</si>
  <si>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</si>
  <si>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</si>
  <si>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</si>
  <si>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</si>
  <si>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</si>
  <si>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</si>
  <si>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</si>
  <si>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</si>
  <si>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</si>
  <si>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</si>
  <si>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</si>
  <si>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</si>
  <si>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</si>
  <si>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</si>
  <si>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</si>
  <si>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</si>
  <si>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</si>
  <si>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</si>
  <si>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</si>
  <si>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</si>
  <si>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</si>
  <si>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</si>
  <si>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</si>
  <si>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</si>
  <si>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</si>
  <si>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</si>
  <si>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</si>
  <si>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</si>
  <si>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</si>
  <si>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</si>
  <si>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</si>
  <si>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</si>
  <si>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</si>
  <si>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</si>
  <si>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</si>
  <si>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</si>
  <si>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</si>
  <si>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</si>
  <si>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</si>
  <si>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</si>
  <si>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</si>
  <si>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</si>
  <si>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</si>
  <si>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</si>
  <si>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</si>
  <si>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</si>
  <si>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</si>
  <si>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</si>
  <si>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</si>
  <si>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</si>
  <si>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</si>
  <si>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</si>
  <si>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</si>
  <si>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</si>
  <si>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</si>
  <si>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</si>
  <si>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</si>
  <si>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</si>
  <si>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</si>
  <si>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</si>
  <si>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</si>
  <si>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</si>
  <si>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</si>
  <si>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</si>
  <si>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</si>
  <si>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</si>
  <si>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</si>
  <si>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</si>
  <si>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</si>
  <si>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</si>
  <si>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</si>
  <si>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</si>
  <si>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</si>
  <si>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</si>
  <si>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</si>
  <si>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</si>
  <si>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</si>
  <si>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</si>
  <si>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</si>
  <si>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</si>
  <si>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</si>
  <si>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</si>
  <si>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</si>
  <si>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</si>
  <si>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</si>
  <si>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</si>
  <si>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</si>
  <si>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</si>
  <si>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</si>
  <si>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</si>
  <si>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</si>
  <si>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</si>
  <si>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</si>
  <si>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</si>
  <si>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</si>
  <si>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</si>
  <si>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</si>
  <si>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</si>
  <si>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</si>
  <si>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</si>
  <si>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</si>
  <si>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</si>
  <si>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</si>
  <si>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</si>
  <si>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</si>
  <si>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</si>
  <si>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</si>
  <si>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</si>
  <si>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</si>
  <si>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</si>
  <si>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</si>
  <si>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</si>
  <si>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</si>
  <si>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</si>
  <si>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</si>
  <si>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</si>
  <si>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</si>
  <si>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</si>
  <si>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</si>
  <si>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</si>
  <si>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</si>
  <si>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</si>
  <si>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</si>
  <si>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</si>
  <si>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</si>
  <si>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</si>
  <si>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</si>
  <si>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</si>
  <si>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</si>
  <si>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</si>
  <si>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</si>
  <si>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</si>
  <si>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</si>
  <si>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</si>
  <si>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</si>
  <si>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</si>
  <si>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</si>
  <si>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</si>
  <si>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</si>
  <si>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</si>
  <si>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</si>
  <si>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</si>
  <si>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</si>
  <si>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</si>
  <si>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</si>
  <si>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</si>
  <si>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</si>
  <si>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</si>
  <si>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</si>
  <si>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</si>
  <si>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</si>
  <si>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</si>
  <si>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</si>
  <si>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</si>
  <si>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</si>
  <si>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</si>
  <si>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</si>
  <si>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</si>
  <si>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</si>
  <si>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</si>
  <si>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</si>
  <si>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</si>
  <si>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</si>
  <si>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</si>
  <si>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</si>
  <si>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</si>
  <si>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</si>
  <si>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</si>
  <si>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</si>
  <si>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</si>
  <si>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</si>
  <si>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</si>
  <si>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</si>
  <si>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</si>
  <si>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</si>
  <si>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</si>
  <si>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</si>
  <si>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</si>
  <si>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</si>
  <si>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</si>
  <si>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</si>
  <si>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</si>
  <si>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</si>
  <si>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</si>
  <si>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</si>
  <si>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</si>
  <si>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</si>
  <si>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</si>
  <si>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</si>
  <si>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</si>
  <si>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</si>
  <si>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</si>
  <si>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</si>
  <si>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</si>
  <si>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</si>
  <si>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</si>
  <si>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</si>
  <si>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</si>
  <si>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</si>
  <si>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</si>
  <si>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</si>
  <si>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</si>
  <si>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</si>
  <si>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</si>
  <si>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</si>
  <si>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</si>
  <si>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</si>
  <si>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</si>
  <si>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</si>
  <si>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</si>
  <si>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</si>
  <si>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</si>
  <si>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</si>
  <si>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</si>
  <si>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</si>
  <si>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</si>
  <si>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</si>
  <si>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</si>
  <si>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</si>
  <si>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</si>
  <si>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</si>
  <si>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</si>
  <si>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</si>
  <si>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</si>
  <si>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</si>
  <si>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</si>
  <si>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</si>
  <si>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</si>
  <si>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</si>
  <si>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</si>
  <si>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</si>
  <si>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</si>
  <si>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</si>
  <si>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</si>
  <si>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</si>
  <si>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</si>
  <si>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</si>
  <si>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</si>
  <si>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</si>
  <si>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</si>
  <si>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</si>
  <si>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</si>
  <si>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</si>
  <si>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</si>
  <si>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</si>
  <si>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</si>
  <si>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</si>
  <si>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</si>
  <si>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</si>
  <si>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</si>
  <si>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</si>
  <si>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</si>
  <si>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</si>
  <si>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</si>
  <si>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</si>
  <si>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</si>
  <si>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</si>
  <si>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</si>
  <si>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</si>
  <si>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</si>
  <si>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</si>
  <si>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</si>
  <si>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</si>
  <si>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</si>
  <si>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</si>
  <si>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</si>
  <si>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</si>
  <si>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</si>
  <si>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</si>
  <si>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</si>
  <si>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</si>
  <si>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</si>
  <si>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</si>
  <si>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</si>
  <si>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</si>
  <si>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</si>
  <si>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</si>
  <si>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</si>
  <si>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</si>
  <si>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</si>
  <si>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</si>
  <si>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</si>
  <si>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</si>
  <si>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</si>
  <si>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</si>
  <si>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</si>
  <si>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</si>
  <si>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</si>
  <si>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</si>
  <si>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</si>
  <si>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</si>
  <si>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</si>
  <si>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</si>
  <si>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</si>
  <si>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</si>
  <si>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</si>
  <si>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</si>
  <si>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</si>
  <si>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</si>
  <si>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</si>
  <si>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</si>
  <si>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</si>
  <si>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</si>
  <si>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</si>
  <si>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</si>
  <si>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</si>
  <si>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</si>
  <si>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</si>
  <si>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</si>
  <si>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</si>
  <si>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</si>
  <si>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</si>
  <si>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</si>
  <si>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</si>
  <si>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</si>
  <si>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</si>
  <si>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</si>
  <si>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</si>
  <si>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</si>
  <si>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</si>
  <si>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</si>
  <si>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</si>
  <si>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</si>
  <si>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</si>
  <si>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</si>
  <si>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</si>
  <si>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</si>
  <si>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</si>
  <si>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</si>
  <si>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</si>
  <si>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</si>
  <si>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</si>
  <si>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</si>
  <si>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</si>
  <si>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</si>
  <si>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</si>
  <si>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</si>
  <si>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</si>
  <si>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</si>
  <si>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</si>
  <si>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</si>
  <si>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</si>
  <si>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</si>
  <si>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</si>
  <si>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</si>
  <si>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</si>
  <si>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</si>
  <si>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</si>
  <si>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</si>
  <si>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</si>
  <si>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</si>
  <si>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</si>
  <si>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</si>
  <si>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</si>
  <si>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</si>
  <si>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</si>
  <si>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</si>
  <si>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</si>
  <si>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</si>
  <si>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</si>
  <si>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</si>
  <si>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</si>
  <si>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</si>
  <si>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</si>
  <si>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</si>
  <si>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</si>
  <si>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</si>
  <si>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</si>
  <si>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</si>
  <si>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</si>
  <si>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</si>
  <si>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</si>
  <si>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</si>
  <si>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</si>
  <si>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</si>
  <si>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</si>
  <si>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</si>
  <si>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</si>
  <si>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</si>
  <si>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</si>
  <si>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</si>
  <si>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</si>
  <si>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</si>
  <si>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</si>
  <si>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</si>
  <si>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</si>
  <si>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</si>
  <si>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</si>
  <si>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</si>
  <si>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</si>
  <si>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</si>
  <si>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</si>
  <si>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</si>
  <si>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</si>
  <si>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</si>
  <si>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</si>
  <si>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</si>
  <si>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</si>
  <si>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</si>
  <si>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</si>
  <si>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</si>
  <si>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</si>
  <si>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</si>
  <si>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</si>
  <si>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</si>
  <si>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</si>
  <si>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</si>
  <si>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</si>
  <si>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</si>
  <si>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</si>
  <si>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</si>
  <si>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</si>
  <si>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</si>
  <si>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</si>
  <si>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</si>
  <si>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</si>
  <si>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</si>
  <si>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</si>
  <si>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</si>
  <si>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</si>
  <si>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</si>
  <si>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</si>
  <si>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</si>
  <si>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</si>
  <si>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</si>
  <si>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</si>
  <si>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</si>
  <si>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</si>
  <si>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</si>
  <si>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</si>
  <si>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</si>
  <si>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</si>
  <si>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</si>
  <si>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</si>
  <si>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</si>
  <si>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</si>
  <si>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</si>
  <si>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</si>
  <si>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</si>
  <si>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</si>
  <si>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</si>
  <si>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</si>
  <si>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</si>
  <si>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</si>
  <si>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</si>
  <si>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</si>
  <si>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</si>
  <si>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</si>
  <si>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</si>
  <si>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</si>
  <si>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</si>
  <si>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</si>
  <si>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</si>
  <si>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</si>
  <si>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</si>
  <si>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</si>
  <si>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</si>
  <si>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</si>
  <si>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</si>
  <si>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</si>
  <si>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</si>
  <si>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</si>
  <si>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</si>
  <si>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</si>
  <si>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</si>
  <si>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</si>
  <si>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</si>
  <si>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</si>
  <si>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</si>
  <si>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</si>
  <si>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</si>
  <si>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</si>
  <si>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</si>
  <si>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</si>
  <si>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</si>
  <si>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</si>
  <si>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</si>
  <si>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</si>
  <si>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</si>
  <si>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</si>
  <si>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</si>
  <si>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</si>
  <si>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</si>
  <si>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</si>
  <si>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</si>
  <si>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</si>
  <si>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</si>
  <si>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</si>
  <si>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</si>
  <si>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</si>
  <si>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</si>
  <si>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</si>
  <si>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</si>
  <si>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</si>
  <si>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</si>
  <si>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</si>
  <si>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</si>
  <si>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</si>
  <si>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</si>
  <si>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</si>
  <si>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</si>
  <si>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</si>
  <si>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</si>
  <si>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</si>
  <si>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</si>
  <si>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</si>
  <si>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</si>
  <si>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</si>
  <si>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</si>
  <si>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</si>
  <si>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</si>
  <si>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</si>
  <si>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</si>
  <si>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</si>
  <si>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</si>
  <si>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</si>
  <si>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</si>
  <si>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</si>
  <si>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</si>
  <si>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</si>
  <si>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</si>
  <si>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</si>
  <si>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</si>
  <si>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</si>
  <si>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</si>
  <si>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</si>
  <si>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</si>
  <si>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</si>
  <si>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</si>
  <si>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</si>
  <si>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</si>
  <si>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</si>
  <si>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</si>
  <si>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</si>
  <si>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</si>
  <si>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</si>
  <si>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</si>
  <si>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</si>
  <si>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</si>
  <si>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</si>
  <si>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</si>
  <si>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</si>
  <si>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</si>
  <si>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</si>
  <si>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</si>
  <si>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</si>
  <si>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</si>
  <si>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</si>
  <si>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</si>
  <si>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</si>
  <si>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</si>
  <si>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</si>
  <si>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</si>
  <si>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</si>
  <si>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</si>
  <si>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</si>
  <si>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</si>
  <si>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</si>
  <si>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</si>
  <si>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</si>
  <si>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</si>
  <si>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</si>
  <si>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</si>
  <si>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</si>
  <si>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</si>
  <si>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</si>
  <si>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</si>
  <si>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</si>
  <si>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</si>
  <si>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</si>
  <si>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</si>
  <si>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</si>
  <si>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</si>
  <si>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</si>
  <si>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</si>
  <si>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</si>
  <si>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</si>
  <si>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</si>
  <si>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</si>
  <si>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</si>
  <si>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</si>
  <si>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</si>
  <si>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</si>
  <si>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</si>
  <si>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</si>
  <si>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</si>
  <si>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</si>
  <si>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</si>
  <si>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</si>
  <si>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</si>
  <si>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</si>
  <si>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</si>
  <si>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</si>
  <si>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</si>
  <si>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</si>
  <si>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</si>
  <si>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</si>
  <si>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</si>
  <si>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</si>
  <si>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</si>
  <si>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</si>
  <si>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</si>
  <si>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</si>
  <si>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</si>
  <si>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</si>
  <si>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</si>
  <si>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</si>
  <si>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</si>
  <si>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</si>
  <si>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</si>
  <si>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</si>
  <si>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</si>
  <si>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</si>
  <si>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</si>
  <si>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</si>
  <si>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</si>
  <si>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</si>
  <si>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</si>
  <si>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</si>
  <si>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</si>
  <si>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</si>
  <si>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</si>
  <si>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</si>
  <si>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</si>
  <si>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</si>
  <si>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</si>
  <si>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</si>
  <si>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</si>
  <si>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</si>
  <si>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</si>
  <si>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</si>
  <si>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</si>
  <si>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</si>
  <si>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</si>
  <si>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</si>
  <si>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</si>
  <si>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</si>
  <si>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</si>
  <si>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</si>
  <si>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</si>
  <si>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</si>
  <si>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</si>
  <si>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</si>
  <si>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</si>
  <si>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</si>
  <si>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</si>
  <si>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</si>
  <si>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</si>
  <si>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</si>
  <si>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</si>
  <si>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</si>
  <si>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</si>
  <si>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</si>
  <si>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</si>
  <si>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</si>
  <si>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</si>
  <si>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</si>
  <si>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</si>
  <si>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</si>
  <si>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</si>
  <si>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</si>
  <si>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</si>
  <si>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</si>
  <si>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</si>
  <si>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</si>
  <si>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</si>
  <si>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</si>
  <si>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</si>
  <si>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</si>
  <si>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</si>
  <si>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</si>
  <si>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</si>
  <si>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</si>
  <si>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</si>
  <si>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</si>
  <si>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</si>
  <si>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</si>
  <si>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</si>
  <si>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</si>
  <si>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</si>
  <si>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</si>
  <si>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</si>
  <si>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</si>
  <si>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</si>
  <si>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</si>
  <si>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</si>
  <si>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</si>
  <si>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</si>
  <si>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</si>
  <si>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</si>
  <si>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</si>
  <si>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</si>
  <si>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</si>
  <si>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</si>
  <si>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</si>
  <si>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</si>
  <si>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</si>
  <si>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</si>
  <si>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</si>
  <si>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</si>
  <si>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</si>
  <si>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</si>
  <si>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</si>
  <si>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</si>
  <si>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</si>
  <si>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</si>
  <si>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</si>
  <si>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</si>
  <si>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</si>
  <si>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</si>
  <si>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</si>
  <si>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</si>
  <si>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</si>
  <si>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</si>
  <si>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</si>
  <si>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</si>
  <si>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</si>
  <si>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</si>
  <si>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</si>
  <si>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</si>
  <si>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</si>
  <si>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</si>
  <si>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</si>
  <si>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</si>
  <si>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</si>
  <si>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</si>
  <si>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</si>
  <si>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</si>
  <si>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</si>
  <si>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</si>
  <si>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</si>
  <si>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</si>
  <si>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</si>
  <si>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</si>
  <si>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</si>
  <si>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</si>
  <si>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</si>
  <si>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</si>
  <si>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</si>
  <si>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</si>
  <si>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</si>
  <si>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</si>
  <si>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</si>
  <si>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</si>
  <si>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</si>
  <si>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</si>
  <si>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</si>
  <si>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</si>
  <si>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</si>
  <si>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</si>
  <si>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</si>
  <si>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</si>
  <si>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</si>
  <si>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</si>
  <si>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</si>
  <si>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</si>
  <si>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</si>
  <si>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</si>
  <si>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</si>
  <si>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</si>
  <si>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</si>
  <si>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</si>
  <si>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</si>
  <si>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</si>
  <si>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</si>
  <si>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</si>
  <si>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</si>
  <si>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VALLADOLID</t>
  </si>
  <si>
    <t>Resumenes por Partidos Judiciales</t>
  </si>
  <si>
    <t>MEDINA DEL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</si>
</sst>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u9QT/HXCcvqR3asn7mgQ4Ak8/FOygcAeN6y8QvzN1gq88JPOHHHYz7h7RFC6gslxfZMo1Qp7793yykJ6mC1qg==" saltValue="/JwI5Msbwb4kgvOaXko1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3</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22.71609403254973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822</v>
      </c>
      <c r="D16" s="225">
        <f>IF(ISNUMBER(IF(D_I="SI",Datos!I16,Datos!I16+Datos!AC16)),IF(D_I="SI",Datos!I16,Datos!I16+Datos!AC16)," - ")</f>
        <v>807</v>
      </c>
      <c r="E16" s="226">
        <f>IF(ISNUMBER(IF(D_I="SI",Datos!J16,Datos!J16+Datos!AD16)),IF(D_I="SI",Datos!J16,Datos!J16+Datos!AD16)," - ")</f>
        <v>681</v>
      </c>
      <c r="F16" s="226">
        <f>IF(ISNUMBER(IF(D_I="SI",Datos!K16,Datos!K16+Datos!AE16)),IF(D_I="SI",Datos!K16,Datos!K16+Datos!AE16)," - ")</f>
        <v>714</v>
      </c>
      <c r="G16" s="1034" t="str">
        <f>IF(Datos!E16&lt;&gt;"",Datos!E16,Datos!D16)</f>
        <v>04</v>
      </c>
      <c r="H16" s="227">
        <f>IF(ISNUMBER(IF(D_I="SI",Datos!L16,Datos!L16+Datos!AF16)),IF(D_I="SI",Datos!L16,Datos!L16+Datos!AF16)," - ")</f>
        <v>789</v>
      </c>
      <c r="I16" s="1044" t="str">
        <f>IF(ISNUMBER(Datos!AS16/Datos!BM16),Datos!AS16/Datos!BM16," - ")</f>
        <v xml:space="preserve"> - </v>
      </c>
      <c r="J16" s="1045">
        <f>IF(ISNUMBER(Datos!BY16/Datos!CN16),Datos!BY16/Datos!CN16," - ")</f>
        <v>0</v>
      </c>
      <c r="K16" s="230">
        <f t="shared" si="3"/>
        <v>-4.0145985401459854E-2</v>
      </c>
      <c r="L16" s="1025">
        <f>IF(ISNUMBER(NºAsuntos!I16/NºAsuntos!G16),(NºAsuntos!I16/NºAsuntos!G16)*11," - ")</f>
        <v>12.155462184873951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17</v>
      </c>
      <c r="F17" s="226">
        <f>IF(ISNUMBER(IF(D_I="SI",Datos!K17,Datos!K17+Datos!AE17)),IF(D_I="SI",Datos!K17,Datos!K17+Datos!AE17)," - ")</f>
        <v>20</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-5.6603773584905662E-2</v>
      </c>
      <c r="L17" s="1025">
        <f>IF(ISNUMBER(NºAsuntos!I17/NºAsuntos!G17),(NºAsuntos!I17/NºAsuntos!G17)*11," - ")</f>
        <v>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875</v>
      </c>
      <c r="D18" s="1049">
        <f>SUBTOTAL(9,D15:D17)</f>
        <v>860</v>
      </c>
      <c r="E18" s="1050">
        <f>SUBTOTAL(9,E15:E17)</f>
        <v>698</v>
      </c>
      <c r="F18" s="1050">
        <f>SUBTOTAL(9,F15:F17)</f>
        <v>734</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882</v>
      </c>
      <c r="D19" s="1071">
        <f>SUBTOTAL(9,D9:D18)</f>
        <v>867</v>
      </c>
      <c r="E19" s="1072">
        <f>SUBTOTAL(9,E9:E18)</f>
        <v>701</v>
      </c>
      <c r="F19" s="1072">
        <f>SUBTOTAL(9,F9:F18)</f>
        <v>738</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wVKjGcMVKZ/5VI9uRx6XqoEn7qd118/xOD/4vks/BvHcnPEI4eWeI6IvV0S4MIeAP4KedUNRbDa2YuRrU9Erw==" saltValue="42XZYK67TNnh3Bfzpr5t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54QNgKwG16ytOlUt7DEofMIEf8IYCJ7fFtrG+GLg6rbJ9Wu0rQ9+NjAzovPyA3dsqeiCCNQ3IcB4vrSErF9dA==" saltValue="dPnZd0qOHC+DmA3wQEhA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3</v>
      </c>
      <c r="K10" s="181">
        <v>4</v>
      </c>
      <c r="L10" s="181">
        <v>6</v>
      </c>
      <c r="M10" s="181">
        <v>4</v>
      </c>
      <c r="N10" s="181">
        <v>0</v>
      </c>
      <c r="O10" s="181">
        <v>2</v>
      </c>
      <c r="P10" s="181">
        <v>1</v>
      </c>
      <c r="Q10" s="181">
        <v>2</v>
      </c>
      <c r="R10" s="181">
        <v>13</v>
      </c>
      <c r="S10" s="181">
        <v>3</v>
      </c>
      <c r="T10" s="181">
        <v>5</v>
      </c>
      <c r="U10" s="181">
        <v>4</v>
      </c>
      <c r="V10" s="181">
        <v>4</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5</v>
      </c>
      <c r="BA10" s="129">
        <f t="shared" si="0"/>
        <v>4</v>
      </c>
      <c r="BB10" s="129">
        <f t="shared" si="0"/>
        <v>4</v>
      </c>
      <c r="BC10" s="125">
        <f t="shared" si="0"/>
        <v>4</v>
      </c>
      <c r="BD10" s="126">
        <f>IF(ISNUMBER(BA10/AZ10),BA10/AZ10," - ")</f>
        <v>0.8</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1087</v>
      </c>
      <c r="J12" s="183">
        <v>522</v>
      </c>
      <c r="K12" s="183">
        <v>523</v>
      </c>
      <c r="L12" s="183">
        <v>1086</v>
      </c>
      <c r="M12" s="183">
        <v>143</v>
      </c>
      <c r="N12" s="183">
        <v>259</v>
      </c>
      <c r="O12" s="181">
        <v>227</v>
      </c>
      <c r="P12" s="183">
        <v>154</v>
      </c>
      <c r="Q12" s="183">
        <v>187</v>
      </c>
      <c r="R12" s="183">
        <v>1842</v>
      </c>
      <c r="S12" s="183">
        <v>946</v>
      </c>
      <c r="T12" s="183">
        <v>548</v>
      </c>
      <c r="U12" s="183">
        <v>430</v>
      </c>
      <c r="V12" s="183">
        <v>1064</v>
      </c>
      <c r="W12" s="183">
        <v>103</v>
      </c>
      <c r="X12" s="189">
        <v>222</v>
      </c>
      <c r="Y12" s="191">
        <v>65</v>
      </c>
      <c r="Z12" s="181">
        <v>21</v>
      </c>
      <c r="AA12" s="181">
        <v>30</v>
      </c>
      <c r="AB12" s="181">
        <v>56</v>
      </c>
      <c r="AC12" s="183">
        <v>0</v>
      </c>
      <c r="AD12" s="183">
        <v>0</v>
      </c>
      <c r="AE12" s="183">
        <v>0</v>
      </c>
      <c r="AF12" s="189">
        <v>0</v>
      </c>
      <c r="AG12" s="202">
        <v>54</v>
      </c>
      <c r="AH12" s="183">
        <v>23</v>
      </c>
      <c r="AI12" s="183">
        <v>22</v>
      </c>
      <c r="AJ12" s="203">
        <v>55</v>
      </c>
      <c r="AK12" s="182">
        <v>0</v>
      </c>
      <c r="AL12" s="183">
        <v>0</v>
      </c>
      <c r="AM12" s="183">
        <v>0</v>
      </c>
      <c r="AN12" s="189">
        <v>0</v>
      </c>
      <c r="AO12" s="259">
        <v>3</v>
      </c>
      <c r="AP12" s="155">
        <v>3</v>
      </c>
      <c r="AQ12" s="155">
        <v>3</v>
      </c>
      <c r="AR12" s="154">
        <v>3</v>
      </c>
      <c r="AS12" s="340" t="s">
        <v>802</v>
      </c>
      <c r="AT12" s="203"/>
      <c r="AU12" s="202"/>
      <c r="AV12" s="203"/>
      <c r="AW12" s="202"/>
      <c r="AX12" s="203"/>
      <c r="AY12" s="126">
        <f t="shared" si="1"/>
        <v>1000</v>
      </c>
      <c r="AZ12" s="127">
        <f t="shared" si="1"/>
        <v>571</v>
      </c>
      <c r="BA12" s="127">
        <f t="shared" si="1"/>
        <v>452</v>
      </c>
      <c r="BB12" s="127">
        <f t="shared" si="1"/>
        <v>1119</v>
      </c>
      <c r="BC12" s="125">
        <f>IF(ISNUMBER(X12),X12," - ")</f>
        <v>222</v>
      </c>
      <c r="BD12" s="126">
        <f t="shared" si="2"/>
        <v>0.79159369527145362</v>
      </c>
      <c r="BE12" s="127">
        <f t="shared" si="3"/>
        <v>2.4756637168141591</v>
      </c>
      <c r="BF12" s="127">
        <f t="shared" si="4"/>
        <v>0.49115044247787609</v>
      </c>
      <c r="BG12" s="196">
        <f t="shared" si="5"/>
        <v>3.4756637168141591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1094</v>
      </c>
      <c r="J13" s="184">
        <f t="shared" si="6"/>
        <v>525</v>
      </c>
      <c r="K13" s="184">
        <f t="shared" si="6"/>
        <v>527</v>
      </c>
      <c r="L13" s="184">
        <f t="shared" si="6"/>
        <v>1092</v>
      </c>
      <c r="M13" s="184">
        <f t="shared" si="6"/>
        <v>147</v>
      </c>
      <c r="N13" s="184">
        <f t="shared" si="6"/>
        <v>259</v>
      </c>
      <c r="O13" s="184">
        <f t="shared" si="6"/>
        <v>229</v>
      </c>
      <c r="P13" s="184">
        <f t="shared" si="6"/>
        <v>155</v>
      </c>
      <c r="Q13" s="184">
        <f t="shared" si="6"/>
        <v>189</v>
      </c>
      <c r="R13" s="184">
        <f t="shared" si="6"/>
        <v>1855</v>
      </c>
      <c r="S13" s="184">
        <f t="shared" si="6"/>
        <v>949</v>
      </c>
      <c r="T13" s="184">
        <f t="shared" si="6"/>
        <v>553</v>
      </c>
      <c r="U13" s="184">
        <f t="shared" si="6"/>
        <v>434</v>
      </c>
      <c r="V13" s="184">
        <f t="shared" si="6"/>
        <v>1068</v>
      </c>
      <c r="W13" s="184">
        <f t="shared" si="6"/>
        <v>107</v>
      </c>
      <c r="X13" s="184">
        <f t="shared" si="6"/>
        <v>222</v>
      </c>
      <c r="Y13" s="184">
        <f t="shared" si="6"/>
        <v>65</v>
      </c>
      <c r="Z13" s="184">
        <f t="shared" si="6"/>
        <v>21</v>
      </c>
      <c r="AA13" s="184">
        <f t="shared" si="6"/>
        <v>30</v>
      </c>
      <c r="AB13" s="184">
        <f t="shared" si="6"/>
        <v>56</v>
      </c>
      <c r="AC13" s="184">
        <f t="shared" si="6"/>
        <v>0</v>
      </c>
      <c r="AD13" s="184">
        <f t="shared" si="6"/>
        <v>0</v>
      </c>
      <c r="AE13" s="184">
        <f t="shared" si="6"/>
        <v>0</v>
      </c>
      <c r="AF13" s="184">
        <f>SUBTOTAL(9,AF9:AF12)</f>
        <v>0</v>
      </c>
      <c r="AG13" s="184">
        <f t="shared" ref="AG13:AT13" si="7">SUBTOTAL(9,AG8:AG12)</f>
        <v>54</v>
      </c>
      <c r="AH13" s="184">
        <f t="shared" si="7"/>
        <v>23</v>
      </c>
      <c r="AI13" s="184">
        <f t="shared" si="7"/>
        <v>22</v>
      </c>
      <c r="AJ13" s="184">
        <f t="shared" si="7"/>
        <v>55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1003</v>
      </c>
      <c r="AZ13" s="184">
        <f>SUBTOTAL(9,AZ8:AZ12)</f>
        <v>576</v>
      </c>
      <c r="BA13" s="184">
        <f>SUBTOTAL(9,BA8:BA12)</f>
        <v>456</v>
      </c>
      <c r="BB13" s="184">
        <f>SUBTOTAL(9,BB8:BB12)</f>
        <v>1123</v>
      </c>
      <c r="BC13" s="184">
        <f>SUBTOTAL(9,BC8:BC12)</f>
        <v>226</v>
      </c>
      <c r="BD13" s="205">
        <f>IF(ISNUMBER(BA13/AZ13),BA13/AZ13," - ")</f>
        <v>0.79166666666666663</v>
      </c>
      <c r="BE13" s="206">
        <f>IF(ISNUMBER(BB13/BA13),BB13/BA13, " - ")</f>
        <v>2.4627192982456139</v>
      </c>
      <c r="BF13" s="206">
        <f>IF(ISNUMBER(BC13/BA13),BC13/BA13, " - ")</f>
        <v>0.49561403508771928</v>
      </c>
      <c r="BG13" s="207">
        <f>IF(ISNUMBER((AY13+AZ13)/BA13),(AY13+AZ13)/BA13," - ")</f>
        <v>3.4627192982456139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807</v>
      </c>
      <c r="J16" s="183">
        <v>681</v>
      </c>
      <c r="K16" s="183">
        <v>714</v>
      </c>
      <c r="L16" s="183">
        <v>789</v>
      </c>
      <c r="M16" s="183">
        <v>105</v>
      </c>
      <c r="N16" s="183">
        <v>381</v>
      </c>
      <c r="O16" s="181">
        <v>16</v>
      </c>
      <c r="P16" s="183">
        <v>16</v>
      </c>
      <c r="Q16" s="183">
        <v>16</v>
      </c>
      <c r="R16" s="183">
        <v>88</v>
      </c>
      <c r="S16" s="183">
        <v>645</v>
      </c>
      <c r="T16" s="183">
        <v>589</v>
      </c>
      <c r="U16" s="183">
        <v>569</v>
      </c>
      <c r="V16" s="183">
        <v>642</v>
      </c>
      <c r="W16" s="183">
        <v>63</v>
      </c>
      <c r="X16" s="189">
        <v>334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645</v>
      </c>
      <c r="AZ16" s="127">
        <f t="shared" si="9"/>
        <v>589</v>
      </c>
      <c r="BA16" s="127">
        <f t="shared" si="9"/>
        <v>569</v>
      </c>
      <c r="BB16" s="127">
        <f t="shared" si="9"/>
        <v>642</v>
      </c>
      <c r="BC16" s="125">
        <f>IF(ISNUMBER(W16),W16," - ")</f>
        <v>63</v>
      </c>
      <c r="BD16" s="126">
        <f t="shared" ref="BD16" si="11">IF(ISNUMBER(BA16/AZ16),BA16/AZ16," - ")</f>
        <v>0.96604414261460103</v>
      </c>
      <c r="BE16" s="127">
        <f t="shared" ref="BE16" si="12">IF(ISNUMBER(BB16/BA16),BB16/BA16, " - ")</f>
        <v>1.1282952548330405</v>
      </c>
      <c r="BF16" s="127">
        <f t="shared" ref="BF16" si="13">IF(ISNUMBER(BC16/BA16),BC16/BA16, " - ")</f>
        <v>0.11072056239015818</v>
      </c>
      <c r="BG16" s="196">
        <f t="shared" si="10"/>
        <v>2.1687170474516697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17</v>
      </c>
      <c r="K17" s="183">
        <v>20</v>
      </c>
      <c r="L17" s="183">
        <v>50</v>
      </c>
      <c r="M17" s="183">
        <v>0</v>
      </c>
      <c r="N17" s="183">
        <v>18</v>
      </c>
      <c r="O17" s="183">
        <v>1</v>
      </c>
      <c r="P17" s="183">
        <v>0</v>
      </c>
      <c r="Q17" s="183">
        <v>1</v>
      </c>
      <c r="R17" s="183">
        <v>0</v>
      </c>
      <c r="S17" s="183">
        <v>57</v>
      </c>
      <c r="T17" s="183">
        <v>31</v>
      </c>
      <c r="U17" s="183">
        <v>28</v>
      </c>
      <c r="V17" s="183">
        <v>60</v>
      </c>
      <c r="W17" s="183">
        <v>0</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31</v>
      </c>
      <c r="BA17" s="129">
        <f t="shared" si="14"/>
        <v>28</v>
      </c>
      <c r="BB17" s="129">
        <f t="shared" si="14"/>
        <v>60</v>
      </c>
      <c r="BC17" s="125">
        <f>IF(ISNUMBER(W17),W17," - ")</f>
        <v>0</v>
      </c>
      <c r="BD17" s="126">
        <f>IF(ISNUMBER(BA17/AZ17),BA17/AZ17," - ")</f>
        <v>0.90322580645161288</v>
      </c>
      <c r="BE17" s="127">
        <f>IF(ISNUMBER(BB17/BA17),BB17/BA17, " - ")</f>
        <v>2.1428571428571428</v>
      </c>
      <c r="BF17" s="127">
        <f>IF(ISNUMBER(BC17/BA17),BC17/BA17, " - ")</f>
        <v>0</v>
      </c>
      <c r="BG17" s="196">
        <f>IF(ISNUMBER((AY17+AZ17)/BA17),(AY17+AZ17)/BA17," - ")</f>
        <v>3.1428571428571428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860</v>
      </c>
      <c r="J18" s="184">
        <f t="shared" si="15"/>
        <v>698</v>
      </c>
      <c r="K18" s="184">
        <f t="shared" si="15"/>
        <v>734</v>
      </c>
      <c r="L18" s="184">
        <f t="shared" si="15"/>
        <v>839</v>
      </c>
      <c r="M18" s="184">
        <f t="shared" si="15"/>
        <v>105</v>
      </c>
      <c r="N18" s="184">
        <f t="shared" si="15"/>
        <v>399</v>
      </c>
      <c r="O18" s="184">
        <f t="shared" si="15"/>
        <v>17</v>
      </c>
      <c r="P18" s="184">
        <f t="shared" si="15"/>
        <v>16</v>
      </c>
      <c r="Q18" s="184">
        <f t="shared" si="15"/>
        <v>17</v>
      </c>
      <c r="R18" s="184">
        <f t="shared" si="15"/>
        <v>88</v>
      </c>
      <c r="S18" s="184">
        <f t="shared" si="15"/>
        <v>702</v>
      </c>
      <c r="T18" s="184">
        <f t="shared" si="15"/>
        <v>620</v>
      </c>
      <c r="U18" s="184">
        <f t="shared" si="15"/>
        <v>597</v>
      </c>
      <c r="V18" s="184">
        <f t="shared" si="15"/>
        <v>702</v>
      </c>
      <c r="W18" s="184">
        <f t="shared" si="15"/>
        <v>63</v>
      </c>
      <c r="X18" s="184">
        <f t="shared" si="15"/>
        <v>359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702</v>
      </c>
      <c r="AZ18" s="184">
        <f>SUBTOTAL(9,AZ14:AZ17)</f>
        <v>620</v>
      </c>
      <c r="BA18" s="184">
        <f>SUBTOTAL(9,BA14:BA17)</f>
        <v>597</v>
      </c>
      <c r="BB18" s="184">
        <f>SUBTOTAL(9,BB14:BB17)</f>
        <v>702</v>
      </c>
      <c r="BC18" s="184">
        <f>SUBTOTAL(9,BC14:BC17)</f>
        <v>63</v>
      </c>
      <c r="BD18" s="205">
        <f>IF(ISNUMBER(BA18/AZ18),BA18/AZ18," - ")</f>
        <v>0.9629032258064516</v>
      </c>
      <c r="BE18" s="206">
        <f>IF(ISNUMBER(BB18/BA18),BB18/BA18, " - ")</f>
        <v>1.1758793969849246</v>
      </c>
      <c r="BF18" s="206">
        <f>IF(ISNUMBER(BC18/BA18),BC18/BA18, " - ")</f>
        <v>0.10552763819095477</v>
      </c>
      <c r="BG18" s="207">
        <f>IF(ISNUMBER((AY18+AZ18)/BA18),(AY18+AZ18)/BA18," - ")</f>
        <v>2.2144053601340032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1954</v>
      </c>
      <c r="J19" s="134">
        <f t="shared" si="18"/>
        <v>1223</v>
      </c>
      <c r="K19" s="134">
        <f t="shared" si="18"/>
        <v>1261</v>
      </c>
      <c r="L19" s="134">
        <f t="shared" si="18"/>
        <v>1931</v>
      </c>
      <c r="M19" s="134">
        <f t="shared" si="18"/>
        <v>252</v>
      </c>
      <c r="N19" s="134">
        <f t="shared" si="18"/>
        <v>658</v>
      </c>
      <c r="O19" s="134">
        <f t="shared" si="18"/>
        <v>246</v>
      </c>
      <c r="P19" s="134">
        <f t="shared" si="18"/>
        <v>171</v>
      </c>
      <c r="Q19" s="134">
        <f t="shared" si="18"/>
        <v>206</v>
      </c>
      <c r="R19" s="134">
        <f t="shared" si="18"/>
        <v>1943</v>
      </c>
      <c r="S19" s="134">
        <f t="shared" si="18"/>
        <v>1651</v>
      </c>
      <c r="T19" s="134">
        <f t="shared" si="18"/>
        <v>1173</v>
      </c>
      <c r="U19" s="134">
        <f t="shared" si="18"/>
        <v>1031</v>
      </c>
      <c r="V19" s="134">
        <f t="shared" si="18"/>
        <v>1770</v>
      </c>
      <c r="W19" s="134">
        <f t="shared" si="18"/>
        <v>170</v>
      </c>
      <c r="X19" s="134">
        <f t="shared" si="18"/>
        <v>581</v>
      </c>
      <c r="Y19" s="134">
        <f t="shared" si="18"/>
        <v>65</v>
      </c>
      <c r="Z19" s="134">
        <f t="shared" si="18"/>
        <v>21</v>
      </c>
      <c r="AA19" s="134">
        <f t="shared" si="18"/>
        <v>30</v>
      </c>
      <c r="AB19" s="134">
        <f t="shared" si="18"/>
        <v>56</v>
      </c>
      <c r="AC19" s="134">
        <f t="shared" si="18"/>
        <v>0</v>
      </c>
      <c r="AD19" s="134">
        <f t="shared" si="18"/>
        <v>0</v>
      </c>
      <c r="AE19" s="134">
        <f t="shared" si="18"/>
        <v>0</v>
      </c>
      <c r="AF19" s="134">
        <f t="shared" si="18"/>
        <v>0</v>
      </c>
      <c r="AG19" s="134">
        <f t="shared" si="18"/>
        <v>54</v>
      </c>
      <c r="AH19" s="134">
        <f t="shared" si="18"/>
        <v>23</v>
      </c>
      <c r="AI19" s="134">
        <f t="shared" si="18"/>
        <v>22</v>
      </c>
      <c r="AJ19" s="134">
        <f t="shared" si="18"/>
        <v>55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1705</v>
      </c>
      <c r="AZ19" s="134">
        <f>SUBTOTAL(9,AZ9:AZ18)</f>
        <v>1196</v>
      </c>
      <c r="BA19" s="134">
        <f>SUBTOTAL(9,BA9:BA18)</f>
        <v>1053</v>
      </c>
      <c r="BB19" s="134">
        <f>SUBTOTAL(9,BB9:BB18)</f>
        <v>1825</v>
      </c>
      <c r="BC19" s="135">
        <f>SUBTOTAL(9,BC9:BC18)</f>
        <v>289</v>
      </c>
      <c r="BD19" s="213">
        <f>IF(ISNUMBER(BA19/AZ19),BA19/AZ19," - ")</f>
        <v>0.88043478260869568</v>
      </c>
      <c r="BE19" s="210">
        <f>IF(ISNUMBER(BB19/BA19),BB19/BA19, " - ")</f>
        <v>1.7331433998100665</v>
      </c>
      <c r="BF19" s="210">
        <f>IF(ISNUMBER(BC19/BA19),BC19/BA19, " - ")</f>
        <v>0.27445394112060778</v>
      </c>
      <c r="BG19" s="135">
        <f>IF(ISNUMBER((AY19+AZ19)/BA19),(AY19+AZ19)/BA19," - ")</f>
        <v>2.7549857549857548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OIe1TII4mxpWP3/x5cUWe5KbyzOg4ExXoOGzo2+g4/PqC76OsLkiSGv88ucQcfYRONqefncTuhvKzBmu110pg==" saltValue="HWk+fFBeIkGx3DBRCmig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DKFF977imiDp0cEpDVF+da8LrmDYCyZrfqVR3AZuCQCKu9b/HMio6U2hcAsrDApBO5hjqdXoQNwIXHg8RVouw==" saltValue="eMKK0HfDOno7q6tdUKPg4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6</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1842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143</v>
      </c>
      <c r="BD12" s="229">
        <f>IF(ISNUMBER(Datos!N12),Datos!N12," - ")</f>
        <v>259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1.0184162062615101</v>
      </c>
      <c r="BH12" s="260">
        <f>IF(ISNUMBER(((IF(J_V="SI",Datos!L12/Datos!K12,(Datos!L12+Datos!AB12)/(Datos!K12+Datos!AA12)))*11)/factor_trimestre),((IF(J_V="SI",Datos!L12/Datos!K12,(Datos!L12+Datos!AB12)/(Datos!K12+Datos!AA12)))*11)/factor_trimestre," - ")</f>
        <v>6.1952983725135633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-1.7600000000000001E-2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189</v>
      </c>
      <c r="AD13" s="899">
        <f t="shared" si="1"/>
        <v>0</v>
      </c>
      <c r="AE13" s="899">
        <f t="shared" si="1"/>
        <v>0</v>
      </c>
      <c r="AF13" s="899">
        <f t="shared" si="1"/>
        <v>6</v>
      </c>
      <c r="AG13" s="899">
        <f t="shared" si="1"/>
        <v>0</v>
      </c>
      <c r="AH13" s="899">
        <f t="shared" si="1"/>
        <v>56</v>
      </c>
      <c r="AI13" s="899">
        <f t="shared" si="1"/>
        <v>0</v>
      </c>
      <c r="AJ13" s="899">
        <f t="shared" si="1"/>
        <v>0</v>
      </c>
      <c r="AK13" s="899">
        <f t="shared" si="1"/>
        <v>0</v>
      </c>
      <c r="AL13" s="899">
        <f t="shared" si="1"/>
        <v>0</v>
      </c>
      <c r="AM13" s="899">
        <f t="shared" si="1"/>
        <v>1855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147</v>
      </c>
      <c r="BD13" s="899">
        <f t="shared" si="1"/>
        <v>259</v>
      </c>
      <c r="BE13" s="899">
        <f t="shared" si="1"/>
        <v>0</v>
      </c>
      <c r="BF13" s="899">
        <f t="shared" si="1"/>
        <v>0</v>
      </c>
      <c r="BG13" s="899">
        <f>IF(ISNUMBER(Datos!K13/Datos!J13),Datos!K13/Datos!J13," - ")</f>
        <v>1.0038095238095237</v>
      </c>
      <c r="BH13" s="903">
        <f>IF(ISNUMBER(((Datos!L13/Datos!K13)*11)/factor_trimestre),((Datos!L13/Datos!K13)*11)/factor_trimestre," - ")</f>
        <v>6.216318785578749</v>
      </c>
      <c r="BI13" s="899">
        <f>IF(ISNUMBER('Resol  Asuntos'!D13/NºAsuntos!G13),'Resol  Asuntos'!D13/NºAsuntos!G13," - ")</f>
        <v>0.26391382405745062</v>
      </c>
      <c r="BJ13" s="899" t="str">
        <f>IF(ISNUMBER(Datos!CI13/Datos!CJ13),Datos!CI13/Datos!CJ13," - ")</f>
        <v xml:space="preserve"> - </v>
      </c>
      <c r="BK13" s="899">
        <f>SUBTOTAL(9,BK8:BK12)</f>
        <v>0</v>
      </c>
      <c r="BL13" s="899">
        <f>IF(ISNUMBER((I13-AB13+L13)/(F13)),(I13-AB13+L13)/(F13)," - ")</f>
        <v>-0.5714285714285714</v>
      </c>
      <c r="BM13" s="904">
        <f>SUBTOTAL(9,BM9:BM12)</f>
        <v>-8.9028571428571429E-2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822</v>
      </c>
      <c r="G16" s="598">
        <f>IF(ISNUMBER(IF(D_I="SI",Datos!I16,Datos!I16+Datos!AC16)),IF(D_I="SI",Datos!I16,Datos!I16+Datos!AC16)," - ")</f>
        <v>807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714</v>
      </c>
      <c r="AC16" s="226">
        <f>IF(ISNUMBER(Datos!Q16),Datos!Q16," - ")</f>
        <v>16</v>
      </c>
      <c r="AD16" s="334"/>
      <c r="AE16" s="484"/>
      <c r="AF16" s="596">
        <f>IF(ISNUMBER(IF(D_I="SI",Datos!L16,Datos!L16+Datos!AF16)),IF(D_I="SI",Datos!L16,Datos!L16+Datos!AF16)," - ")</f>
        <v>789</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105</v>
      </c>
      <c r="BD16" s="229">
        <f>IF(ISNUMBER(Datos!N16),Datos!N16," - ")</f>
        <v>381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1.0484581497797356</v>
      </c>
      <c r="BH16" s="260">
        <f>IF(ISNUMBER(((IF(D_I="SI",Datos!L16/Datos!K16,(Datos!L16+Datos!AF16)/(Datos!K16+Datos!AE16)))*11)/factor_trimestre),((IF(D_I="SI",Datos!L16/Datos!K16,(Datos!L16+Datos!AF16)/(Datos!K16+Datos!AE16)))*11)/factor_trimestre," - ")</f>
        <v>3.3151260504201687</v>
      </c>
      <c r="BI16" s="243">
        <f>IF(ISNUMBER('Resol  Asuntos'!D16/NºAsuntos!G16),'Resol  Asuntos'!D16/NºAsuntos!G16," - ")</f>
        <v>0.14705882352941177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1</v>
      </c>
      <c r="AD17" s="334"/>
      <c r="AE17" s="484"/>
      <c r="AF17" s="332">
        <f>IF(ISNUMBER(Datos!L17),Datos!L17,"-")</f>
        <v>50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1.1764705882352942</v>
      </c>
      <c r="BH17" s="260">
        <f>IF(ISNUMBER(((IF(D_I="SI",Datos!L17/Datos!K17,(Datos!L17+Datos!AF17)/(Datos!K17+Datos!AE17)))*11)/factor_trimestre),((IF(D_I="SI",Datos!L17/Datos!K17,(Datos!L17+Datos!AF17)/(Datos!K17+Datos!AE17)))*11)/factor_trimestre," - ")</f>
        <v>7.5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822</v>
      </c>
      <c r="G18" s="898">
        <f>SUBTOTAL(9,G15:G17)</f>
        <v>860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734</v>
      </c>
      <c r="AC18" s="899">
        <f t="shared" si="4"/>
        <v>17</v>
      </c>
      <c r="AD18" s="899">
        <f t="shared" si="4"/>
        <v>0</v>
      </c>
      <c r="AE18" s="899">
        <f t="shared" si="4"/>
        <v>0</v>
      </c>
      <c r="AF18" s="899">
        <f t="shared" si="4"/>
        <v>839</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105</v>
      </c>
      <c r="BD18" s="899">
        <f t="shared" si="4"/>
        <v>399</v>
      </c>
      <c r="BE18" s="899">
        <f t="shared" si="4"/>
        <v>0</v>
      </c>
      <c r="BF18" s="899">
        <f t="shared" si="4"/>
        <v>0</v>
      </c>
      <c r="BG18" s="899">
        <f>IF(ISNUMBER(Datos!K18/Datos!J18),Datos!K18/Datos!J18," - ")</f>
        <v>1.0515759312320916</v>
      </c>
      <c r="BH18" s="903">
        <f>IF(ISNUMBER(((Datos!L18/Datos!K18)*11)/factor_trimestre),((Datos!L18/Datos!K18)*11)/factor_trimestre," - ")</f>
        <v>3.4291553133514987</v>
      </c>
      <c r="BI18" s="899">
        <f>SUBTOTAL(9,BI15:BI17)</f>
        <v>0.14705882352941177</v>
      </c>
      <c r="BJ18" s="899">
        <f>SUBTOTAL(9,BJ15:BJ17)</f>
        <v>0</v>
      </c>
      <c r="BK18" s="899">
        <f>SUBTOTAL(9,BK15:BK17)</f>
        <v>0</v>
      </c>
      <c r="BL18" s="899">
        <f>IF(ISNUMBER((I18-AB18+L18)/(F18)),(I18-AB18+L18)/(F18)," - ")</f>
        <v>-0.89294403892944041</v>
      </c>
      <c r="BM18" s="905">
        <f>IF(ISNUMBER((Datos!P18-Datos!Q18)/(Datos!R18-Datos!P18+Datos!Q18)),(Datos!P18-Datos!Q18)/(Datos!R18-Datos!P18+Datos!Q18)," - ")</f>
        <v>-1.1235955056179775E-2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829</v>
      </c>
      <c r="G19" s="820">
        <f t="shared" si="6"/>
        <v>867</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738</v>
      </c>
      <c r="AC19" s="821">
        <f t="shared" si="7"/>
        <v>206</v>
      </c>
      <c r="AD19" s="821">
        <f t="shared" si="7"/>
        <v>0</v>
      </c>
      <c r="AE19" s="821">
        <f t="shared" si="7"/>
        <v>0</v>
      </c>
      <c r="AF19" s="828">
        <f t="shared" si="7"/>
        <v>845</v>
      </c>
      <c r="AG19" s="828">
        <f t="shared" si="7"/>
        <v>0</v>
      </c>
      <c r="AH19" s="828">
        <f t="shared" si="7"/>
        <v>56</v>
      </c>
      <c r="AI19" s="828">
        <f t="shared" si="7"/>
        <v>0</v>
      </c>
      <c r="AJ19" s="821">
        <f t="shared" si="7"/>
        <v>0</v>
      </c>
      <c r="AK19" s="828">
        <f t="shared" si="7"/>
        <v>0</v>
      </c>
      <c r="AL19" s="828">
        <f t="shared" si="7"/>
        <v>0</v>
      </c>
      <c r="AM19" s="828">
        <f t="shared" si="7"/>
        <v>1943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252</v>
      </c>
      <c r="BD19" s="820">
        <f t="shared" si="7"/>
        <v>658</v>
      </c>
      <c r="BE19" s="820">
        <f t="shared" si="7"/>
        <v>0</v>
      </c>
      <c r="BF19" s="830">
        <f t="shared" si="7"/>
        <v>0</v>
      </c>
      <c r="BG19" s="915">
        <f>IF(ISNUMBER(Datos!K19/Datos!J19),Datos!K19/Datos!J19," - ")</f>
        <v>1.0310711365494685</v>
      </c>
      <c r="BH19" s="915">
        <f>IF(ISNUMBER(((Datos!L19/Datos!K19)*11)/factor_trimestre),((Datos!L19/Datos!K19)*11)/factor_trimestre," - ")</f>
        <v>4.5939730372720069</v>
      </c>
      <c r="BI19" s="813">
        <f>IF(ISNUMBER(Datos!J19/Datos!I19),Datos!J19/Datos!I19," - ")</f>
        <v>0.62589559877175027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-0.89022919179734616</v>
      </c>
      <c r="BM19" s="889">
        <f>IF(ISNUMBER((Datos!P19-Datos!Q19+R19)/(Datos!R19-Datos!P19+Datos!Q19-R19)),(Datos!P19-Datos!Q19+R19)/(Datos!R19-Datos!P19+Datos!Q19-R19)," - ")</f>
        <v>-1.7694641051567241E-2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470.54046938954502</v>
      </c>
      <c r="G21" s="552">
        <f>IF(ISNUMBER(STDEV(G8:G18)),STDEV(G8:G18),"-")</f>
        <v>445.08560974266516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391.55740319907119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66.012120099266625</v>
      </c>
      <c r="BD21" s="551"/>
      <c r="BE21" s="551">
        <f>IF(ISNUMBER(STDEV(BE8:BE18)),STDEV(BE8:BE18),"-")</f>
        <v>0</v>
      </c>
      <c r="BF21" s="556">
        <f>IF(ISNUMBER(STDEV(BF8:BF18)),STDEV(BF8:BF18),"-")</f>
        <v>0</v>
      </c>
      <c r="BG21" s="775">
        <f>IF(ISNUMBER(STDEV(BG8:BG18)),STDEV(BG8:BG18),"-")</f>
        <v>0.12730343594859331</v>
      </c>
      <c r="BH21" s="776">
        <f>IF(ISNUMBER(STDEV(BH8:BH18)),STDEV(BH8:BH18),"-")</f>
        <v>1.7024593550246865</v>
      </c>
      <c r="BI21" s="249">
        <f>IF(ISNUMBER(STDEV(BI8:BI18)),STDEV(BI8:BI18),"-")</f>
        <v>0.10809458974325535</v>
      </c>
      <c r="BJ21" s="230" t="str">
        <f>IF(ISNUMBER(BL21/BM21),BL21/BM21," - ")</f>
        <v xml:space="preserve"> - </v>
      </c>
      <c r="BK21" s="575"/>
      <c r="BL21" s="559">
        <f>IF(ISNUMBER(STDEV(BL8:BL18)),STDEV(BL8:BL18),"-")</f>
        <v>0.2273457673262278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mIq3/L9onOmXycOcpYJVP7T8UDQa0HCdS0PiLc8YTxM78pdhctGNMaaFQbsE5EDR7nRrbTh8qG+giCUEfTsPIA==" saltValue="rYgmj5w8kTgkwQhPm+2Y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DEL CAMPO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6</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187</v>
      </c>
      <c r="AA12" s="332" t="str">
        <f>IF(ISNUMBER(IF(J_V="SI",Datos!L12,Datos!L12+Datos!AB12)-IF(Monitorios="SI",Datos!CD12,0)),
                          IF(J_V="SI",Datos!L12,Datos!L12+Datos!AB12)-IF(Monitorios="SI",Datos!CD12,0),
                          " - ")</f>
        <v xml:space="preserve"> - </v>
      </c>
      <c r="AB12" s="334"/>
      <c r="AC12" s="334"/>
      <c r="AD12" s="484"/>
      <c r="AE12" s="484">
        <f>IF(ISNUMBER(Datos!R12),Datos!R12," - ")</f>
        <v>1842</v>
      </c>
      <c r="AF12" s="229" t="str">
        <f>IF(ISNUMBER(Datos!BV12),Datos!BV12," - ")</f>
        <v xml:space="preserve"> - </v>
      </c>
      <c r="AG12" s="225" t="str">
        <f>IF(ISNUMBER(Datos!DV12),Datos!DV12," - ")</f>
        <v xml:space="preserve"> - </v>
      </c>
      <c r="AH12" s="298"/>
      <c r="AI12" s="227"/>
      <c r="AJ12" s="225">
        <f>IF(ISNUMBER(Datos!M12),Datos!M12," - ")</f>
        <v>143</v>
      </c>
      <c r="AK12" s="229">
        <f>IF(ISNUMBER(Datos!N12),Datos!N12," - ")</f>
        <v>259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6.1952983725135633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-1.7600000000000001E-2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155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189</v>
      </c>
      <c r="AA13" s="900">
        <f t="shared" si="2"/>
        <v>6</v>
      </c>
      <c r="AB13" s="900">
        <f t="shared" si="2"/>
        <v>0</v>
      </c>
      <c r="AC13" s="900">
        <f t="shared" si="2"/>
        <v>0</v>
      </c>
      <c r="AD13" s="900">
        <f t="shared" si="2"/>
        <v>0</v>
      </c>
      <c r="AE13" s="900">
        <f t="shared" si="2"/>
        <v>1855</v>
      </c>
      <c r="AF13" s="908">
        <f t="shared" si="2"/>
        <v>0</v>
      </c>
      <c r="AG13" s="908">
        <f t="shared" si="2"/>
        <v>0</v>
      </c>
      <c r="AH13" s="908">
        <f t="shared" si="2"/>
        <v>0</v>
      </c>
      <c r="AI13" s="908">
        <f t="shared" si="2"/>
        <v>0</v>
      </c>
      <c r="AJ13" s="908">
        <f t="shared" si="2"/>
        <v>147</v>
      </c>
      <c r="AK13" s="908">
        <f t="shared" si="2"/>
        <v>259</v>
      </c>
      <c r="AL13" s="908">
        <f t="shared" si="2"/>
        <v>0</v>
      </c>
      <c r="AM13" s="908">
        <f t="shared" si="2"/>
        <v>0</v>
      </c>
      <c r="AN13" s="908">
        <f t="shared" si="2"/>
        <v>0</v>
      </c>
      <c r="AO13" s="904">
        <f>IF(ISNUMBER(((NºAsuntos!I13/NºAsuntos!G13)*11)/factor_trimestre),((NºAsuntos!I13/NºAsuntos!G13)*11)/factor_trimestre," - ")</f>
        <v>6.1831238779174145</v>
      </c>
      <c r="AP13" s="910" t="str">
        <f>IF(ISNUMBER(Datos!CI13/Datos!CJ13),Datos!CI13/Datos!CJ13," - ")</f>
        <v xml:space="preserve"> - </v>
      </c>
      <c r="AQ13" s="928">
        <f t="shared" ref="AQ13:AV13" si="3">SUBTOTAL(9,AQ9:AQ12)</f>
        <v>0</v>
      </c>
      <c r="AR13" s="928">
        <f t="shared" si="3"/>
        <v>-8.9028571428571429E-2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822</v>
      </c>
      <c r="G16" s="225">
        <f>IF(ISNUMBER(IF(D_I="SI",Datos!I16,Datos!I16+Datos!AC16)),IF(D_I="SI",Datos!I16,Datos!I16+Datos!AC16)," - ")</f>
        <v>807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714</v>
      </c>
      <c r="Z16" s="619">
        <f>IF(ISNUMBER(Datos!Q16),Datos!Q16," - ")</f>
        <v>16</v>
      </c>
      <c r="AA16" s="332">
        <f>IF(ISNUMBER(IF(D_I="SI",Datos!L16,Datos!L16+Datos!AF16)),IF(D_I="SI",Datos!L16,Datos!L16+Datos!AF16)," - ")</f>
        <v>789</v>
      </c>
      <c r="AB16" s="334"/>
      <c r="AC16" s="334"/>
      <c r="AD16" s="484"/>
      <c r="AE16" s="484">
        <f>IF(ISNUMBER(Datos!R16),Datos!R16," - ")</f>
        <v>88</v>
      </c>
      <c r="AF16" s="229" t="str">
        <f>IF(ISNUMBER(Datos!BV16),Datos!BV16," - ")</f>
        <v xml:space="preserve"> - </v>
      </c>
      <c r="AG16" s="225"/>
      <c r="AH16" s="298"/>
      <c r="AI16" s="227"/>
      <c r="AJ16" s="225">
        <f>IF(ISNUMBER(Datos!M16),Datos!M16," - ")</f>
        <v>105</v>
      </c>
      <c r="AK16" s="229">
        <f>IF(ISNUMBER(Datos!N16),Datos!N16," - ")</f>
        <v>381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3.3151260504201687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1</v>
      </c>
      <c r="AA17" s="332">
        <f>IF(ISNUMBER(Datos!L17),Datos!L17,"-")</f>
        <v>50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822</v>
      </c>
      <c r="G18" s="898">
        <f>SUBTOTAL(9,G15:G17)</f>
        <v>860</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734</v>
      </c>
      <c r="Z18" s="932">
        <f t="shared" si="5"/>
        <v>17</v>
      </c>
      <c r="AA18" s="932">
        <f t="shared" si="5"/>
        <v>839</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105</v>
      </c>
      <c r="AK18" s="932">
        <f t="shared" si="5"/>
        <v>399</v>
      </c>
      <c r="AL18" s="932">
        <f t="shared" si="5"/>
        <v>0</v>
      </c>
      <c r="AM18" s="932">
        <f t="shared" si="5"/>
        <v>0</v>
      </c>
      <c r="AN18" s="932">
        <f t="shared" si="5"/>
        <v>0</v>
      </c>
      <c r="AO18" s="934">
        <f>IF(ISNUMBER(((NºAsuntos!I18/NºAsuntos!G18)*11)/factor_trimestre),((NºAsuntos!I18/NºAsuntos!G18)*11)/factor_trimestre," - ")</f>
        <v>3.4291553133514987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829</v>
      </c>
      <c r="G19" s="820">
        <f t="shared" si="7"/>
        <v>867</v>
      </c>
      <c r="H19" s="821">
        <f t="shared" si="7"/>
        <v>0</v>
      </c>
      <c r="I19" s="820">
        <f t="shared" si="7"/>
        <v>0</v>
      </c>
      <c r="J19" s="822">
        <f t="shared" si="7"/>
        <v>0</v>
      </c>
      <c r="K19" s="820">
        <f t="shared" si="7"/>
        <v>0</v>
      </c>
      <c r="L19" s="823">
        <f t="shared" si="7"/>
        <v>0</v>
      </c>
      <c r="M19" s="820">
        <f t="shared" si="7"/>
        <v>0</v>
      </c>
      <c r="N19" s="821">
        <f t="shared" si="7"/>
        <v>171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738</v>
      </c>
      <c r="Z19" s="827">
        <f t="shared" si="8"/>
        <v>206</v>
      </c>
      <c r="AA19" s="828">
        <f t="shared" si="8"/>
        <v>845</v>
      </c>
      <c r="AB19" s="828">
        <f t="shared" si="8"/>
        <v>0</v>
      </c>
      <c r="AC19" s="828">
        <f t="shared" si="8"/>
        <v>0</v>
      </c>
      <c r="AD19" s="829">
        <f t="shared" si="8"/>
        <v>0</v>
      </c>
      <c r="AE19" s="829">
        <f t="shared" si="8"/>
        <v>1943</v>
      </c>
      <c r="AF19" s="830">
        <f t="shared" si="8"/>
        <v>0</v>
      </c>
      <c r="AG19" s="831">
        <f t="shared" si="8"/>
        <v>0</v>
      </c>
      <c r="AH19" s="832">
        <f t="shared" si="8"/>
        <v>0</v>
      </c>
      <c r="AI19" s="830">
        <f t="shared" si="8"/>
        <v>0</v>
      </c>
      <c r="AJ19" s="820">
        <f t="shared" si="8"/>
        <v>252</v>
      </c>
      <c r="AK19" s="820">
        <f t="shared" si="8"/>
        <v>658</v>
      </c>
      <c r="AL19" s="820">
        <f t="shared" si="8"/>
        <v>0</v>
      </c>
      <c r="AM19" s="833">
        <f t="shared" si="8"/>
        <v>0</v>
      </c>
      <c r="AN19" s="823">
        <f>IF(ISNUMBER(Datos!K19/Datos!J19),Datos!K19/Datos!J19," - ")</f>
        <v>1.0310711365494685</v>
      </c>
      <c r="AO19" s="823">
        <f>IF(ISNUMBER(FIND("06",Criterios!A8,1)),(IF(ISNUMBER(((Datos!R19/Datos!Q19)*11)/factor_trimestre),((Datos!R19/Datos!Q19)*11)/factor_trimestre," - ")),(IF(ISNUMBER(((Datos!L19/Datos!K19)*11)/factor_trimestre),((Datos!L19/Datos!K19)*11)/factor_trimestre," - ")))</f>
        <v>4.5939730372720069</v>
      </c>
      <c r="AP19" s="834" t="str">
        <f>IF(ISNUMBER(Datos!CI19/Datos!CJ19),Datos!CI19/Datos!CJ19," - ")</f>
        <v xml:space="preserve"> - </v>
      </c>
      <c r="AQ19" s="834">
        <f>IF(OR(ISNUMBER(FIND("01",Criterios!A8,1)),ISNUMBER(FIND("02",Criterios!A8,1)),ISNUMBER(FIND("03",Criterios!A8,1)),ISNUMBER(FIND("04",Criterios!A8,1))),(J19-Y19+K19)/(F19-K19),(I19-Y19+K19)/(F19-K19))</f>
        <v>-0.89022919179734616</v>
      </c>
      <c r="AR19" s="834">
        <f>IF(ISNUMBER((Datos!P19-Datos!Q19+O19)/(Datos!R19-Datos!P19+Datos!Q19-O19)),(Datos!P19-Datos!Q19+O19)/(Datos!R19-Datos!P19+Datos!Q19-O19)," - ")</f>
        <v>-1.7694641051567241E-2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470.54046938954502</v>
      </c>
      <c r="G21" s="552">
        <f>IF(ISNUMBER(STDEV(G8:G18)),STDEV(G8:G18),"-")</f>
        <v>445.08560974266516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66.012120099266625</v>
      </c>
      <c r="AK21" s="252"/>
      <c r="AL21" s="252">
        <f>IF(ISNUMBER(STDEV(AL8:AL18)),STDEV(AL8:AL18),"-")</f>
        <v>0</v>
      </c>
      <c r="AM21" s="254">
        <f>IF(ISNUMBER(STDEV(AM8:AM18)),STDEV(AM8:AM18),"-")</f>
        <v>0</v>
      </c>
      <c r="AN21" s="539">
        <f>IF(ISNUMBER(STDEV(AN8:AN18)),STDEV(AN8:AN18),"-")</f>
        <v>0</v>
      </c>
      <c r="AO21" s="540">
        <f>IF(ISNUMBER(STDEV(AO8:AO18)),STDEV(AO8:AO18),"-")</f>
        <v>1.6985167842062998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TTcf0IyL6Eug2InIbfU+F/2z/HB/yluuDToPa5oSESVaX/mEoqcaUuDvSJvfScJxReo5z/ywT2mjruScuJJa4w==" saltValue="aE+D8qJfQMULxm7sDVOi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y/2uXMzUOgRfDNgMIj6elzqXsSeiJwRBKoAOj+38F29d/HRzsA7WecDCjQYmb2cCbY3+0SNa+1XKr90nuKwDQ==" saltValue="8TlRcS8cKXoedbSSs5A95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kViytBJCsX4DGiUjA6O6nS0Fz3P/8pYyTWmsvFS42sMsp51gM/PHx4yYBpSad2V47tUQn5YUiU5uGIqnpkHAg==" saltValue="33bgvHH08xBE3w2gniI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0.26391382405745062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0.18661525463989673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ptz3gT4LIsxbXio4T62P9mzmejGtl/TvQJId4NmdB9P06iPRj96rKqlXZUDg/05/ShFkUi97VSx0SkM2HoWsg==" saltValue="GYn1H2jR7mspKIukSKJ5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XmZaG9iKf3jKl1Lowlr4nvz3M6kg9nDIKEkEF5cOOz2F/0uY9Tl3ANkpkW/vURTAKRk9F+ZE3hKZV5NVLKPSg==" saltValue="Xu72xOPr3h/htFCA7H748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DEL CAMPO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3</v>
      </c>
      <c r="F10" s="404">
        <f>IF(ISNUMBER(E10/B10),E10/B10," - ")</f>
        <v>3</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1152</v>
      </c>
      <c r="D12" s="404">
        <f>IF(ISNUMBER(C12/Datos!BH12),C12/Datos!BH12," - ")</f>
        <v>384</v>
      </c>
      <c r="E12" s="403">
        <f>IF(ISNUMBER(IF(J_V="SI",Datos!J12,Datos!J12+Datos!Z12)),IF(J_V="SI",Datos!J12,Datos!J12+Datos!Z12)," - ")</f>
        <v>543</v>
      </c>
      <c r="F12" s="404">
        <f>IF(ISNUMBER(E12/B12),E12/B12," - ")</f>
        <v>181</v>
      </c>
      <c r="G12" s="403">
        <f>IF(ISNUMBER(IF(J_V="SI",Datos!K12,Datos!K12+Datos!AA12)),IF(J_V="SI",Datos!K12,Datos!K12+Datos!AA12)," - ")</f>
        <v>553</v>
      </c>
      <c r="H12" s="404">
        <f>IF(ISNUMBER(G12/B12),G12/B12," - ")</f>
        <v>184.33333333333334</v>
      </c>
      <c r="I12" s="403">
        <f>IF(ISNUMBER(IF(J_V="SI",Datos!L12,Datos!L12+Datos!AB12)),IF(J_V="SI",Datos!L12,Datos!L12+Datos!AB12)," - ")</f>
        <v>1142</v>
      </c>
      <c r="J12" s="404">
        <f>IF(ISNUMBER(I12/B12),I12/B12," - ")</f>
        <v>380.66666666666669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1159</v>
      </c>
      <c r="D13" s="850" t="str">
        <f>IF(ISNUMBER(C13/Datos!BI13),C13/Datos!BI13," - ")</f>
        <v xml:space="preserve"> - </v>
      </c>
      <c r="E13" s="849">
        <f>SUBTOTAL(9,E8:E12)</f>
        <v>546</v>
      </c>
      <c r="F13" s="850">
        <f>IF(ISNUMBER(E13/B13),E13/B13," - ")</f>
        <v>182</v>
      </c>
      <c r="G13" s="849">
        <f>SUBTOTAL(9,G8:G12)</f>
        <v>557</v>
      </c>
      <c r="H13" s="850">
        <f>IF(ISNUMBER(G13/B13),G13/B13," - ")</f>
        <v>185.66666666666666</v>
      </c>
      <c r="I13" s="849">
        <f>SUBTOTAL(9,I8:I12)</f>
        <v>1148</v>
      </c>
      <c r="J13" s="850">
        <f>IF(ISNUMBER(I13/B13),I13/B13," - ")</f>
        <v>382.66666666666669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807</v>
      </c>
      <c r="D16" s="404">
        <f>IF(ISNUMBER(C16/Datos!BH16),C16/Datos!BH16," - ")</f>
        <v>269</v>
      </c>
      <c r="E16" s="403">
        <f>IF(ISNUMBER(IF(D_I="SI",Datos!J16,Datos!J16+Datos!AD16)),IF(D_I="SI",Datos!J16,Datos!J16+Datos!AD16)," - ")</f>
        <v>681</v>
      </c>
      <c r="F16" s="404">
        <f>IF(ISNUMBER(E16/B16),E16/B16," - ")</f>
        <v>227</v>
      </c>
      <c r="G16" s="403">
        <f>IF(ISNUMBER(IF(D_I="SI",Datos!K16,Datos!K16+Datos!AE16)),IF(D_I="SI",Datos!K16,Datos!K16+Datos!AE16)," - ")</f>
        <v>714</v>
      </c>
      <c r="H16" s="404">
        <f>IF(ISNUMBER(G16/B16),G16/B16," - ")</f>
        <v>238</v>
      </c>
      <c r="I16" s="403">
        <f>IF(ISNUMBER(IF(D_I="SI",Datos!L16,Datos!L16+Datos!AF16)),IF(D_I="SI",Datos!L16,Datos!L16+Datos!AF16)," - ")</f>
        <v>789</v>
      </c>
      <c r="J16" s="404">
        <f>IF(ISNUMBER(I16/B16),I16/B16," - ")</f>
        <v>263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17</v>
      </c>
      <c r="F17" s="404">
        <f>IF(ISNUMBER(E17/B17),E17/B17," - ")</f>
        <v>17</v>
      </c>
      <c r="G17" s="403">
        <f>IF(ISNUMBER(IF(D_I="SI",Datos!K17,Datos!K17+Datos!AE17)),IF(D_I="SI",Datos!K17,Datos!K17+Datos!AE17)," - ")</f>
        <v>20</v>
      </c>
      <c r="H17" s="404">
        <f>IF(ISNUMBER(G17/B17),G17/B17," - ")</f>
        <v>20</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860</v>
      </c>
      <c r="D18" s="850" t="str">
        <f>IF(ISNUMBER(C18/Datos!BI18),C18/Datos!BI18," - ")</f>
        <v xml:space="preserve"> - </v>
      </c>
      <c r="E18" s="849">
        <f>SUBTOTAL(9,E14:E17)</f>
        <v>698</v>
      </c>
      <c r="F18" s="850">
        <f>IF(ISNUMBER(E18/B18),E18/B18," - ")</f>
        <v>232.66666666666666</v>
      </c>
      <c r="G18" s="849">
        <f>SUBTOTAL(9,G14:G17)</f>
        <v>734</v>
      </c>
      <c r="H18" s="850">
        <f>IF(ISNUMBER(G18/B18),G18/B18," - ")</f>
        <v>244.66666666666666</v>
      </c>
      <c r="I18" s="849">
        <f>SUBTOTAL(9,I14:I17)</f>
        <v>839</v>
      </c>
      <c r="J18" s="850">
        <f>IF(ISNUMBER(I18/B18),I18/B18," - ")</f>
        <v>279.66666666666669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2019</v>
      </c>
      <c r="D19" s="795" t="str">
        <f>IF(ISNUMBER(C19/Datos!BI19),C19/Datos!BI19," - ")</f>
        <v xml:space="preserve"> - </v>
      </c>
      <c r="E19" s="794">
        <f>SUBTOTAL(9,E9:E18)</f>
        <v>1244</v>
      </c>
      <c r="F19" s="795">
        <f>IF(ISNUMBER(E19/B19),E19/B19," - ")</f>
        <v>414.66666666666669</v>
      </c>
      <c r="G19" s="794">
        <f>SUBTOTAL(9,G9:G18)</f>
        <v>1291</v>
      </c>
      <c r="H19" s="795">
        <f>IF(ISNUMBER(G19/B19),G19/B19," - ")</f>
        <v>430.33333333333331</v>
      </c>
      <c r="I19" s="794">
        <f>SUBTOTAL(9,I9:I18)</f>
        <v>1987</v>
      </c>
      <c r="J19" s="795">
        <f>IF(ISNUMBER(I19/B19),I19/B19," - ")</f>
        <v>662.33333333333337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TZvAyEAq+GXXe+PnqC1A80+2qgFca2f0IScl9LHDCfrlj3OjCbrcq7SjvHFl7PWZ15ff2o1jsBXifF9ObzNFw==" saltValue="gqKB0lHlu42Yf+MzqVig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143</v>
      </c>
      <c r="AM12" s="690">
        <f>IF(ISNUMBER(Datos!N12+DatosP!N16),Datos!N12+DatosP!N16," - ")</f>
        <v>259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6.1952983725135633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-1.7600000000000001E-2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155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187</v>
      </c>
      <c r="AE13" s="939">
        <f t="shared" si="1"/>
        <v>0</v>
      </c>
      <c r="AF13" s="939">
        <f t="shared" si="1"/>
        <v>6</v>
      </c>
      <c r="AG13" s="939">
        <f t="shared" si="1"/>
        <v>0</v>
      </c>
      <c r="AH13" s="939">
        <f t="shared" si="1"/>
        <v>1842</v>
      </c>
      <c r="AI13" s="939">
        <f t="shared" si="1"/>
        <v>0</v>
      </c>
      <c r="AJ13" s="939">
        <f t="shared" si="1"/>
        <v>0</v>
      </c>
      <c r="AK13" s="939">
        <f t="shared" si="1"/>
        <v>0</v>
      </c>
      <c r="AL13" s="939">
        <f t="shared" si="1"/>
        <v>147</v>
      </c>
      <c r="AM13" s="939">
        <f t="shared" si="1"/>
        <v>259</v>
      </c>
      <c r="AN13" s="939">
        <f t="shared" si="1"/>
        <v>0</v>
      </c>
      <c r="AO13" s="939">
        <f t="shared" si="1"/>
        <v>0</v>
      </c>
      <c r="AP13" s="944">
        <f>IF(ISNUMBER(((Datos!L13/Datos!K13)*11)/factor_trimestre),((Datos!L13/Datos!K13)*11)/factor_trimestre," - ")</f>
        <v>6.216318785578749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-0.5714285714285714</v>
      </c>
      <c r="AU13" s="939" t="str">
        <f>IF(ISNUMBER((DatosP!#REF!-DatosP!#REF!+DatosP!#REF!)/(DatosP!#REF!+DatosP!#REF!-DatosP!#REF!-DatosP!#REF!)),(DatosP!#REF!-DatosP!#REF!+DatosP!#REF!)/(DatosP!#REF!+DatosP!#REF!-DatosP!#REF!-DatosP!#REF!)," - ")</f>
        <v xml:space="preserve"> - </v>
      </c>
      <c r="AV13" s="945">
        <f>SUBTOTAL(9,AV9:AV12)</f>
        <v>-1.7600000000000001E-2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3.4291553133514987</v>
      </c>
      <c r="AQ18" s="944">
        <f>IF(ISNUMBER(((Datos!M18/Datos!L18)*11)/factor_trimestre),((Datos!M18/Datos!L18)*11)/factor_trimestre," - ")</f>
        <v>0.3754469606674613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-1.1235955056179775E-2</v>
      </c>
      <c r="AW18" s="946">
        <f>IF(ISNUMBER((Datos!Q18-Datos!R18)/(Datos!S18-Datos!Q18+Datos!R18)),(Datos!Q18-Datos!R18)/(Datos!S18-Datos!Q18+Datos!R18)," - ")</f>
        <v>-9.1849935316946962E-2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155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187</v>
      </c>
      <c r="AE19" s="957">
        <f t="shared" si="5"/>
        <v>0</v>
      </c>
      <c r="AF19" s="958">
        <f t="shared" si="5"/>
        <v>6</v>
      </c>
      <c r="AG19" s="958">
        <f t="shared" si="5"/>
        <v>0</v>
      </c>
      <c r="AH19" s="958">
        <f t="shared" si="5"/>
        <v>1842</v>
      </c>
      <c r="AI19" s="958">
        <f t="shared" si="5"/>
        <v>0</v>
      </c>
      <c r="AJ19" s="959">
        <f t="shared" si="5"/>
        <v>0</v>
      </c>
      <c r="AK19" s="959">
        <f t="shared" si="5"/>
        <v>0</v>
      </c>
      <c r="AL19" s="951">
        <f t="shared" si="5"/>
        <v>147</v>
      </c>
      <c r="AM19" s="951">
        <f t="shared" si="5"/>
        <v>259</v>
      </c>
      <c r="AN19" s="951">
        <f t="shared" si="5"/>
        <v>0</v>
      </c>
      <c r="AO19" s="951">
        <f t="shared" si="5"/>
        <v>0</v>
      </c>
      <c r="AP19" s="951">
        <f>IF(ISNUMBER(((Datos!L19/Datos!K19)*11)/factor_trimestre),((Datos!L19/Datos!K19)*11)/factor_trimestre," - ")</f>
        <v>4.5939730372720069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-1.7694641051567241E-2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82.59338149432233</v>
      </c>
      <c r="AM21" s="736"/>
      <c r="AN21" s="736">
        <f>IF(ISNUMBER(STDEV(AN8:AN18)),STDEV(AN8:AN18),"-")</f>
        <v>0</v>
      </c>
      <c r="AO21" s="742">
        <f>IF(ISNUMBER(STDEV(AO8:AO18)),STDEV(AO8:AO18),"-")</f>
        <v>0</v>
      </c>
      <c r="AP21" s="779">
        <f>IF(ISNUMBER(STDEV(AP8:AP18)),STDEV(AP8:AP18),"-")</f>
        <v>1.3658564038401808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U2w1rsmKYWSdY/OL8yuAeKRTH6Sbz/H741yqIg41S32nMwQZnR2igbFkQ9Gai+8plz9rtCBEM+Z0b5g4xquqg==" saltValue="kumXnbAChDboLPXz9F1J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DEL CAMPO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4DmClLSoarbbYi7bMjSxNI1SonUjA0D/a32rPcYbqAvl1TVV7XYrRaXmxVMD+F2heQBZuOL+x6C39fvkgXCMQ==" saltValue="uenq3ZtOjsxJYjwxHKWN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DEL CAMPO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143</v>
      </c>
      <c r="E12" s="404">
        <f t="shared" si="0"/>
        <v>47.666666666666664</v>
      </c>
      <c r="F12" s="403">
        <f>IF(ISNUMBER(Datos!N12),Datos!N12," - ")</f>
        <v>259</v>
      </c>
      <c r="G12" s="404">
        <f t="shared" si="1"/>
        <v>86.333333333333329</v>
      </c>
      <c r="H12" s="403">
        <f>IF(ISNUMBER(Datos!O12),Datos!O12," - ")</f>
        <v>227</v>
      </c>
      <c r="I12" s="404">
        <f t="shared" si="2"/>
        <v>75.666666666666671</v>
      </c>
      <c r="BZ12" s="1186">
        <f>Datos!EZ12</f>
        <v>0</v>
      </c>
    </row>
    <row r="13" spans="1:78" ht="14.25" thickTop="1" thickBot="1">
      <c r="A13" s="848" t="str">
        <f>Datos!A13</f>
        <v>TOTAL</v>
      </c>
      <c r="B13" s="849">
        <f>Datos!AP13</f>
        <v>3</v>
      </c>
      <c r="C13" s="851">
        <f>Datos!AR13</f>
        <v>3</v>
      </c>
      <c r="D13" s="849">
        <f>SUBTOTAL(9,D9:D12)</f>
        <v>147</v>
      </c>
      <c r="E13" s="850">
        <f t="shared" si="0"/>
        <v>49</v>
      </c>
      <c r="F13" s="849">
        <f>SUBTOTAL(9,F9:F12)</f>
        <v>259</v>
      </c>
      <c r="G13" s="850">
        <f t="shared" si="1"/>
        <v>86.333333333333329</v>
      </c>
      <c r="H13" s="849">
        <f>SUBTOTAL(9,H9:H12)</f>
        <v>229</v>
      </c>
      <c r="I13" s="850">
        <f>IF(ISNUMBER(H13/B13),H13/B13," - ")</f>
        <v>76.333333333333329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105</v>
      </c>
      <c r="E16" s="404">
        <f t="shared" si="3"/>
        <v>35</v>
      </c>
      <c r="F16" s="403">
        <f>IF(ISNUMBER(Datos!N16),Datos!N16," - ")</f>
        <v>381</v>
      </c>
      <c r="G16" s="404">
        <f t="shared" si="4"/>
        <v>127</v>
      </c>
      <c r="H16" s="403">
        <f>IF(ISNUMBER(Datos!O16),Datos!O16," - ")</f>
        <v>16</v>
      </c>
      <c r="I16" s="404">
        <f t="shared" si="5"/>
        <v>5.333333333333333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18</v>
      </c>
      <c r="G17" s="404">
        <f>IF(ISNUMBER(F17/B17),F17/B17," - ")</f>
        <v>18</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105</v>
      </c>
      <c r="E18" s="850">
        <f t="shared" si="3"/>
        <v>35</v>
      </c>
      <c r="F18" s="849">
        <f>SUBTOTAL(9,F15:F17)</f>
        <v>399</v>
      </c>
      <c r="G18" s="850">
        <f t="shared" si="4"/>
        <v>133</v>
      </c>
      <c r="H18" s="849">
        <f>SUBTOTAL(9,H15:H17)</f>
        <v>17</v>
      </c>
      <c r="I18" s="850">
        <f>IF(ISNUMBER(H18/B18),H18/B18," - ")</f>
        <v>5.666666666666667</v>
      </c>
      <c r="BZ18" s="1186"/>
    </row>
    <row r="19" spans="1:78" ht="14.25" thickTop="1" thickBot="1">
      <c r="A19" s="793" t="str">
        <f>Datos!A19</f>
        <v>TOTAL JURISDICCIONES</v>
      </c>
      <c r="B19" s="794">
        <f>Datos!AP19</f>
        <v>3</v>
      </c>
      <c r="C19" s="794">
        <f>Datos!AR19</f>
        <v>3</v>
      </c>
      <c r="D19" s="794">
        <f>SUBTOTAL(9,D8:D18)</f>
        <v>252</v>
      </c>
      <c r="E19" s="795">
        <f>IF(ISNUMBER(D19/B19),D19/B19," - ")</f>
        <v>84</v>
      </c>
      <c r="F19" s="794">
        <f>SUBTOTAL(9,F8:F18)</f>
        <v>658</v>
      </c>
      <c r="G19" s="795">
        <f>IF(ISNUMBER(F19/B19),F19/B19," - ")</f>
        <v>219.33333333333334</v>
      </c>
      <c r="H19" s="794">
        <f>SUBTOTAL(9,H8:H18)</f>
        <v>246</v>
      </c>
      <c r="I19" s="795">
        <f>IF(ISNUMBER(H19/B19),H19/B19," - ")</f>
        <v>82</v>
      </c>
    </row>
    <row r="22" spans="1:78">
      <c r="A22" s="391" t="str">
        <f>Criterios!A4</f>
        <v>Fecha Informe: 27 feb. 2025</v>
      </c>
    </row>
    <row r="27" spans="1:78">
      <c r="A27" s="414"/>
    </row>
  </sheetData>
  <sheetProtection algorithmName="SHA-512" hashValue="eSFR5Nk01Qvtu7LqWN48EZWfreSUBTG9W2/A57Z4u/ioJM4G2F+22yYcB+lRghm3BCNHgpZEWVJygDMtMryHKw==" saltValue="qVEw/hrF7UINIGourabs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DEL CAMPO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154</v>
      </c>
      <c r="C12" s="434">
        <f>IF(ISNUMBER(Datos!Q12),Datos!Q12," - ")</f>
        <v>187</v>
      </c>
      <c r="D12" s="408">
        <f>IF(ISNUMBER(Datos!R12),Datos!R12," - ")</f>
        <v>1842</v>
      </c>
    </row>
    <row r="13" spans="1:4" ht="14.25" thickTop="1" thickBot="1">
      <c r="A13" s="848" t="str">
        <f>Datos!A13</f>
        <v>TOTAL</v>
      </c>
      <c r="B13" s="849">
        <f>SUBTOTAL(9,B9:B12)</f>
        <v>155</v>
      </c>
      <c r="C13" s="853">
        <f>SUBTOTAL(9,C9:C12)</f>
        <v>189</v>
      </c>
      <c r="D13" s="851">
        <f>SUBTOTAL(9,D9:D12)</f>
        <v>1855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16</v>
      </c>
      <c r="D16" s="408">
        <f>IF(ISNUMBER(Datos!R16),Datos!R16," - ")</f>
        <v>88</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16</v>
      </c>
      <c r="C18" s="853">
        <f>SUBTOTAL(9,C15:C17)</f>
        <v>17</v>
      </c>
      <c r="D18" s="851">
        <f>SUBTOTAL(9,D15:D17)</f>
        <v>88</v>
      </c>
    </row>
    <row r="19" spans="1:4" ht="16.5" customHeight="1" thickTop="1" thickBot="1">
      <c r="A19" s="793" t="str">
        <f>Datos!A19</f>
        <v>TOTAL JURISDICCIONES</v>
      </c>
      <c r="B19" s="798">
        <f>SUBTOTAL(9,B8:B18)</f>
        <v>171</v>
      </c>
      <c r="C19" s="799">
        <f>SUBTOTAL(9,C8:C18)</f>
        <v>206</v>
      </c>
      <c r="D19" s="800">
        <f>SUBTOTAL(9,D8:D18)</f>
        <v>1943</v>
      </c>
    </row>
    <row r="20" spans="1:4" ht="7.5" customHeight="1"/>
    <row r="21" spans="1:4" ht="6" customHeight="1"/>
    <row r="22" spans="1:4">
      <c r="A22" s="391" t="str">
        <f>Criterios!A4</f>
        <v>Fecha Informe: 27 feb. 2025</v>
      </c>
    </row>
    <row r="27" spans="1:4">
      <c r="A27" s="414"/>
    </row>
  </sheetData>
  <sheetProtection algorithmName="SHA-512" hashValue="IoiMpYKQZnInto4pY9q3ZEqC7x5gH43c4QxW0i8QBZi2Nz5fTdgYieFk5KDzzeRHiyINxK83ti8owSIqJDUULw==" saltValue="7JdXMn/ERD+fpv8WNSNU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DEL CAMPO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1.3333333333333333</v>
      </c>
      <c r="C10" s="456">
        <f>IF(ISNUMBER((Datos!J10-Datos!T10)/Datos!T10),(Datos!J10-Datos!T10)/Datos!T10," - ")</f>
        <v>-0.4</v>
      </c>
      <c r="D10" s="456">
        <f>IF(ISNUMBER((Datos!K10-Datos!U10)/Datos!U10),(Datos!K10-Datos!U10)/Datos!U10," - ")</f>
        <v>0</v>
      </c>
      <c r="E10" s="456">
        <f>IF(ISNUMBER((Datos!L10-Datos!V10)/Datos!V10),(Datos!L10-Datos!V10)/Datos!V10," - ")</f>
        <v>0.5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0.66666666666666652</v>
      </c>
      <c r="I10" s="456">
        <f>IF(ISNUMBER(((NºAsuntos!I10/NºAsuntos!G10)-Datos!BE10)/Datos!BE10),((NºAsuntos!I10/NºAsuntos!G10)-Datos!BE10)/Datos!BE10," - ")</f>
        <v>0.5</v>
      </c>
      <c r="J10" s="461">
        <f>IF(ISNUMBER((('Resol  Asuntos'!D10/NºAsuntos!G10)-Datos!BF10)/Datos!BF10),(('Resol  Asuntos'!D10/NºAsuntos!G10)-Datos!BF10)/Datos!BF10," - ")</f>
        <v>0</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0.152</v>
      </c>
      <c r="C12" s="456">
        <f>IF(ISNUMBER(
   IF(J_V="SI",(Datos!J12-Datos!T12)/Datos!T12,(Datos!J12+Datos!Z12-(Datos!T12+Datos!AH12))/(Datos!T12+Datos!AH12))
     ),IF(J_V="SI",(Datos!J12-Datos!T12)/Datos!T12,(Datos!J12+Datos!Z12-(Datos!T12+Datos!AH12))/(Datos!T12+Datos!AH12))," - ")</f>
        <v>-4.9036777583187391E-2</v>
      </c>
      <c r="D12" s="456">
        <f>IF(ISNUMBER(
   IF(J_V="SI",(Datos!K12-Datos!U12)/Datos!U12,(Datos!K12+Datos!AA12-(Datos!U12+Datos!AI12))/(Datos!U12+Datos!AI12))
     ),IF(J_V="SI",(Datos!K12-Datos!U12)/Datos!U12,(Datos!K12+Datos!AA12-(Datos!U12+Datos!AI12))/(Datos!U12+Datos!AI12))," - ")</f>
        <v>0.22345132743362831</v>
      </c>
      <c r="E12" s="456">
        <f>IF(ISNUMBER(
   IF(J_V="SI",(Datos!L12-Datos!V12)/Datos!V12,(Datos!L12+Datos!AB12-(Datos!V12+Datos!AJ12))/(Datos!V12+Datos!AJ12))
     ),IF(J_V="SI",(Datos!L12-Datos!V12)/Datos!V12,(Datos!L12+Datos!AB12-(Datos!V12+Datos!AJ12))/(Datos!V12+Datos!AJ12))," - ")</f>
        <v>2.0554066130473638E-2</v>
      </c>
      <c r="F12" s="456">
        <f>IF(ISNUMBER((Datos!M12-Datos!W12)/Datos!W12),(Datos!M12-Datos!W12)/Datos!W12," - ")</f>
        <v>0.38834951456310679</v>
      </c>
      <c r="G12" s="457">
        <f>IF(ISNUMBER((Datos!N12-Datos!X12)/Datos!X12),(Datos!N12-Datos!X12)/Datos!X12," - ")</f>
        <v>0.16666666666666666</v>
      </c>
      <c r="H12" s="455">
        <f>IF(ISNUMBER(((NºAsuntos!G12/NºAsuntos!E12)-Datos!BD12)/Datos!BD12),((NºAsuntos!G12/NºAsuntos!E12)-Datos!BD12)/Datos!BD12," - ")</f>
        <v>0.28653905702504917</v>
      </c>
      <c r="I12" s="456">
        <f>IF(ISNUMBER(((NºAsuntos!I12/NºAsuntos!G12)-Datos!BE12)/Datos!BE12),((NºAsuntos!I12/NºAsuntos!G12)-Datos!BE12)/Datos!BE12," - ")</f>
        <v>-0.16584007614652052</v>
      </c>
      <c r="J12" s="461">
        <f>IF(ISNUMBER((('Resol  Asuntos'!D12/NºAsuntos!G12)-Datos!BF12)/Datos!BF12),(('Resol  Asuntos'!D12/NºAsuntos!G12)-Datos!BF12)/Datos!BF12," - ")</f>
        <v>-0.47350243552775201</v>
      </c>
      <c r="K12" s="462">
        <f>IF(ISNUMBER((((NºAsuntos!C12+NºAsuntos!E12)/NºAsuntos!G12)-Datos!BG12)/Datos!BG12),(((NºAsuntos!C12+NºAsuntos!E12)/NºAsuntos!G12)-Datos!BG12)/Datos!BG12," - ")</f>
        <v>-0.1181254266123211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0.15553339980059822</v>
      </c>
      <c r="C13" s="855">
        <f>IF(ISNUMBER(
   IF(J_V="SI",(Datos!J13-Datos!T13)/Datos!T13,(Datos!J13+Datos!Z13-(Datos!T13+Datos!AH13))/(Datos!T13+Datos!AH13))
     ),IF(J_V="SI",(Datos!J13-Datos!T13)/Datos!T13,(Datos!J13+Datos!Z13-(Datos!T13+Datos!AH13))/(Datos!T13+Datos!AH13))," - ")</f>
        <v>-5.2083333333333336E-2</v>
      </c>
      <c r="D13" s="855">
        <f>IF(ISNUMBER(
   IF(J_V="SI",(Datos!K13-Datos!U13)/Datos!U13,(Datos!K13+Datos!AA13-(Datos!U13+Datos!AI13))/(Datos!U13+Datos!AI13))
     ),IF(J_V="SI",(Datos!K13-Datos!U13)/Datos!U13,(Datos!K13+Datos!AA13-(Datos!U13+Datos!AI13))/(Datos!U13+Datos!AI13))," - ")</f>
        <v>0.22149122807017543</v>
      </c>
      <c r="E13" s="855">
        <f>IF(ISNUMBER(
   IF(J_V="SI",(Datos!L13-Datos!V13)/Datos!V13,(Datos!L13+Datos!AB13-(Datos!V13+Datos!AJ13))/(Datos!V13+Datos!AJ13))
     ),IF(J_V="SI",(Datos!L13-Datos!V13)/Datos!V13,(Datos!L13+Datos!AB13-(Datos!V13+Datos!AJ13))/(Datos!V13+Datos!AJ13))," - ")</f>
        <v>2.2261798753339269E-2</v>
      </c>
      <c r="F13" s="856">
        <f>IF(ISNUMBER((Datos!M13-Datos!W13)/Datos!W13),(Datos!M13-Datos!W13)/Datos!W13," - ")</f>
        <v>0.37383177570093457</v>
      </c>
      <c r="G13" s="857">
        <f>IF(ISNUMBER((Datos!N13-Datos!X13)/Datos!X13),(Datos!N13-Datos!X13)/Datos!X13," - ")</f>
        <v>0.16666666666666666</v>
      </c>
      <c r="H13" s="857">
        <f>IF(ISNUMBER(((NºAsuntos!G13/NºAsuntos!E13)-Datos!BD13)/Datos!BD13),((NºAsuntos!G13/NºAsuntos!E13)-Datos!BD13)/Datos!BD13," - ")</f>
        <v>0.28860613071139385</v>
      </c>
      <c r="I13" s="857">
        <f>IF(ISNUMBER(((NºAsuntos!I13/NºAsuntos!G13)-Datos!BE13)/Datos!BE13),((NºAsuntos!I13/NºAsuntos!G13)-Datos!BE13)/Datos!BE13," - ")</f>
        <v>-0.16310344662204179</v>
      </c>
      <c r="J13" s="857">
        <f>IF(ISNUMBER((('Resol  Asuntos'!D13/NºAsuntos!G13)-Datos!BF13)/Datos!BF13),(('Resol  Asuntos'!D13/NºAsuntos!G13)-Datos!BF13)/Datos!BF13," - ")</f>
        <v>-0.46750131075133855</v>
      </c>
      <c r="K13" s="857">
        <f>IF(ISNUMBER((((NºAsuntos!C13+NºAsuntos!E13)/NºAsuntos!G13)-Datos!BG13)/Datos!BG13),(((NºAsuntos!C13+NºAsuntos!E13)/NºAsuntos!G13)-Datos!BG13)/Datos!BG13," - ")</f>
        <v>-0.11600074132777259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0.25116279069767444</v>
      </c>
      <c r="C16" s="456">
        <f>IF(ISNUMBER(
   IF(D_I="SI",(Datos!J16-Datos!T16)/Datos!T16,(Datos!J16+Datos!AD16-(Datos!T16+Datos!AL16))/(Datos!T16+Datos!AL16))
     ),IF(D_I="SI",(Datos!J16-Datos!T16)/Datos!T16,(Datos!J16+Datos!AD16-(Datos!T16+Datos!AL16))/(Datos!T16+Datos!AL16))," - ")</f>
        <v>0.15619694397283532</v>
      </c>
      <c r="D16" s="456">
        <f>IF(ISNUMBER(
   IF(D_I="SI",(Datos!K16-Datos!U16)/Datos!U16,(Datos!K16+Datos!AE16-(Datos!U16+Datos!AM16))/(Datos!U16+Datos!AM16))
     ),IF(D_I="SI",(Datos!K16-Datos!U16)/Datos!U16,(Datos!K16+Datos!AE16-(Datos!U16+Datos!AM16))/(Datos!U16+Datos!AM16))," - ")</f>
        <v>0.25483304042179261</v>
      </c>
      <c r="E16" s="456">
        <f>IF(ISNUMBER(
   IF(D_I="SI",(Datos!L16-Datos!V16)/Datos!V16,(Datos!L16+Datos!AF16-(Datos!V16+Datos!AN16))/(Datos!V16+Datos!AN16))
     ),IF(D_I="SI",(Datos!L16-Datos!V16)/Datos!V16,(Datos!L16+Datos!AF16-(Datos!V16+Datos!AN16))/(Datos!V16+Datos!AN16))," - ")</f>
        <v>0.22897196261682243</v>
      </c>
      <c r="F16" s="456">
        <f>IF(ISNUMBER((Datos!M16-Datos!W16)/Datos!W16),(Datos!M16-Datos!W16)/Datos!W16," - ")</f>
        <v>0.66666666666666663</v>
      </c>
      <c r="G16" s="457">
        <f>IF(ISNUMBER((Datos!N16-Datos!X16)/Datos!X16),(Datos!N16-Datos!X16)/Datos!X16," - ")</f>
        <v>0.1407185628742515</v>
      </c>
      <c r="H16" s="455">
        <f>IF(ISNUMBER(((NºAsuntos!G16/NºAsuntos!E16)-Datos!BD16)/Datos!BD16),((NºAsuntos!G16/NºAsuntos!E16)-Datos!BD16)/Datos!BD16," - ")</f>
        <v>8.5310808822960049E-2</v>
      </c>
      <c r="I16" s="456">
        <f>IF(ISNUMBER(((NºAsuntos!I16/NºAsuntos!G16)-Datos!BE16)/Datos!BE16),((NºAsuntos!I16/NºAsuntos!G16)-Datos!BE16)/Datos!BE16," - ")</f>
        <v>-2.0609178250739549E-2</v>
      </c>
      <c r="J16" s="461">
        <f>IF(ISNUMBER((('Resol  Asuntos'!D16/NºAsuntos!G16)-Datos!BF16)/Datos!BF16),(('Resol  Asuntos'!D16/NºAsuntos!G16)-Datos!BF16)/Datos!BF16," - ")</f>
        <v>0.32819794584500467</v>
      </c>
      <c r="K16" s="462">
        <f>IF(ISNUMBER((((NºAsuntos!C16+NºAsuntos!E16)/NºAsuntos!G16)-Datos!BG16)/Datos!BG16),(((NºAsuntos!C16+NºAsuntos!E16)/NºAsuntos!G16)-Datos!BG16)/Datos!BG16," - ")</f>
        <v>-3.9047709845688665E-2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-7.0175438596491224E-2</v>
      </c>
      <c r="C17" s="456">
        <f>IF(ISNUMBER(
   IF(D_I="SI",(Datos!J17-Datos!T17)/Datos!T17,(Datos!J17+Datos!AD17-(Datos!T17+Datos!AL17))/(Datos!T17+Datos!AL17))
     ),IF(D_I="SI",(Datos!J17-Datos!T17)/Datos!T17,(Datos!J17+Datos!AD17-(Datos!T17+Datos!AL17))/(Datos!T17+Datos!AL17))," - ")</f>
        <v>-0.45161290322580644</v>
      </c>
      <c r="D17" s="456">
        <f>IF(ISNUMBER(
   IF(D_I="SI",(Datos!K17-Datos!U17)/Datos!U17,(Datos!K17+Datos!AE17-(Datos!U17+Datos!AM17))/(Datos!U17+Datos!AM17))
     ),IF(D_I="SI",(Datos!K17-Datos!U17)/Datos!U17,(Datos!K17+Datos!AE17-(Datos!U17+Datos!AM17))/(Datos!U17+Datos!AM17))," - ")</f>
        <v>-0.2857142857142857</v>
      </c>
      <c r="E17" s="456">
        <f>IF(ISNUMBER(
   IF(D_I="SI",(Datos!L17-Datos!V17)/Datos!V17,(Datos!L17+Datos!AF17-(Datos!V17+Datos!AN17))/(Datos!V17+Datos!AN17))
     ),IF(D_I="SI",(Datos!L17-Datos!V17)/Datos!V17,(Datos!L17+Datos!AF17-(Datos!V17+Datos!AN17))/(Datos!V17+Datos!AN17))," - ")</f>
        <v>-0.16666666666666666</v>
      </c>
      <c r="F17" s="456" t="str">
        <f>IF(ISNUMBER((Datos!M17-Datos!W17)/Datos!W17),(Datos!M17-Datos!W17)/Datos!W17," - ")</f>
        <v xml:space="preserve"> - </v>
      </c>
      <c r="G17" s="457">
        <f>IF(ISNUMBER((Datos!N17-Datos!X17)/Datos!X17),(Datos!N17-Datos!X17)/Datos!X17," - ")</f>
        <v>-0.28000000000000003</v>
      </c>
      <c r="H17" s="455">
        <f>IF(ISNUMBER(((NºAsuntos!G17/NºAsuntos!E17)-Datos!BD17)/Datos!BD17),((NºAsuntos!G17/NºAsuntos!E17)-Datos!BD17)/Datos!BD17," - ")</f>
        <v>0.30252100840336144</v>
      </c>
      <c r="I17" s="456">
        <f>IF(ISNUMBER(((NºAsuntos!I17/NºAsuntos!G17)-Datos!BE17)/Datos!BE17),((NºAsuntos!I17/NºAsuntos!G17)-Datos!BE17)/Datos!BE17," - ")</f>
        <v>0.16666666666666671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0.11363636363636366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0.22507122507122507</v>
      </c>
      <c r="C18" s="855">
        <f>IF(ISNUMBER(
   IF(Criterios!B14="SI",(Datos!J18-Datos!T18)/Datos!T18,(Datos!J18+Datos!AD18-(Datos!T18+Datos!AL18))/(Datos!T18+Datos!AL18))
     ),IF(Criterios!B14="SI",(Datos!J18-Datos!T18)/Datos!T18,(Datos!J18+Datos!AD18-(Datos!T18+Datos!AL18))/(Datos!T18+Datos!AL18))," - ")</f>
        <v>0.12580645161290321</v>
      </c>
      <c r="D18" s="855">
        <f>IF(ISNUMBER(
   IF(Criterios!B14="SI",(Datos!K18-Datos!U18)/Datos!U18,(Datos!K18+Datos!AE18-(Datos!U18+Datos!AM18))/(Datos!U18+Datos!AM18))
     ),IF(Criterios!B14="SI",(Datos!K18-Datos!U18)/Datos!U18,(Datos!K18+Datos!AE18-(Datos!U18+Datos!AM18))/(Datos!U18+Datos!AM18))," - ")</f>
        <v>0.22948073701842547</v>
      </c>
      <c r="E18" s="855">
        <f>IF(ISNUMBER(
   IF(Criterios!B14="SI",(Datos!L18-Datos!V18)/Datos!V18,(Datos!L18+Datos!AF18-(Datos!V18+Datos!AN18))/(Datos!V18+Datos!AN18))
     ),IF(Criterios!B14="SI",(Datos!L18-Datos!V18)/Datos!V18,(Datos!L18+Datos!AF18-(Datos!V18+Datos!AN18))/(Datos!V18+Datos!AN18))," - ")</f>
        <v>0.19515669515669515</v>
      </c>
      <c r="F18" s="856">
        <f>IF(ISNUMBER((Datos!M18-Datos!W18)/Datos!W18),(Datos!M18-Datos!W18)/Datos!W18," - ")</f>
        <v>0.66666666666666663</v>
      </c>
      <c r="G18" s="857">
        <f>IF(ISNUMBER((Datos!N18-Datos!X18)/Datos!X18),(Datos!N18-Datos!X18)/Datos!X18," - ")</f>
        <v>0.11142061281337047</v>
      </c>
      <c r="H18" s="857">
        <f>IF(ISNUMBER(((NºAsuntos!G18/NºAsuntos!E18)-Datos!BD18)/Datos!BD18),((NºAsuntos!G18/NºAsuntos!E18)-Datos!BD18)/Datos!BD18," - ")</f>
        <v>9.2088906807197307E-2</v>
      </c>
      <c r="I18" s="857">
        <f>IF(ISNUMBER(((NºAsuntos!I18/NºAsuntos!G18)-Datos!BE18)/Datos!BE18),((NºAsuntos!I18/NºAsuntos!G18)-Datos!BE18)/Datos!BE18," - ")</f>
        <v>-2.7917510887538168E-2</v>
      </c>
      <c r="J18" s="857">
        <f>IF(ISNUMBER((('Resol  Asuntos'!D18/NºAsuntos!G18)-Datos!BF18)/Datos!BF18),(('Resol  Asuntos'!D18/NºAsuntos!G18)-Datos!BF18)/Datos!BF18," - ")</f>
        <v>0.35558583106267033</v>
      </c>
      <c r="K18" s="857">
        <f>IF(ISNUMBER((((NºAsuntos!C18+NºAsuntos!E18)/NºAsuntos!G18)-Datos!BG18)/Datos!BG18),(((NºAsuntos!C18+NºAsuntos!E18)/NºAsuntos!G18)-Datos!BG18)/Datos!BG18," - ")</f>
        <v>-4.145110826219036E-2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0.1841642228739003</v>
      </c>
      <c r="C19" s="802">
        <f>IF(ISNUMBER(
   IF(J_V="SI",(Datos!J19-Datos!T19)/Datos!T19,(Datos!J19+Datos!Z19-(Datos!T19+Datos!AH19))/(Datos!T19+Datos!AH19))
     ),IF(J_V="SI",(Datos!J19-Datos!T19)/Datos!T19,(Datos!J19+Datos!Z19-(Datos!T19+Datos!AH19))/(Datos!T19+Datos!AH19))," - ")</f>
        <v>4.0133779264214048E-2</v>
      </c>
      <c r="D19" s="802">
        <f>IF(ISNUMBER(
   IF(J_V="SI",(Datos!K19-Datos!U19)/Datos!U19,(Datos!K19+Datos!AA19-(Datos!U19+Datos!AI19))/(Datos!U19+Datos!AI19))
     ),IF(J_V="SI",(Datos!K19-Datos!U19)/Datos!U19,(Datos!K19+Datos!AA19-(Datos!U19+Datos!AI19))/(Datos!U19+Datos!AI19))," - ")</f>
        <v>0.22602089268755934</v>
      </c>
      <c r="E19" s="802">
        <f>IF(ISNUMBER(
   IF(J_V="SI",(Datos!L19-Datos!V19)/Datos!V19,(Datos!L19+Datos!AB19-(Datos!V19+Datos!AJ19))/(Datos!V19+Datos!AJ19))
     ),IF(J_V="SI",(Datos!L19-Datos!V19)/Datos!V19,(Datos!L19+Datos!AB19-(Datos!V19+Datos!AJ19))/(Datos!V19+Datos!AJ19))," - ")</f>
        <v>8.8767123287671237E-2</v>
      </c>
      <c r="F19" s="803">
        <f>IF(ISNUMBER((Datos!M19-Datos!W19)/Datos!W19),(Datos!M19-Datos!W19)/Datos!W19," - ")</f>
        <v>0.4823529411764706</v>
      </c>
      <c r="G19" s="804">
        <f>IF(ISNUMBER((Datos!N19-Datos!X19)/Datos!X19),(Datos!N19-Datos!X19)/Datos!X19," - ")</f>
        <v>0.13253012048192772</v>
      </c>
      <c r="H19" s="805">
        <f>IF(ISNUMBER((Tasas!B19-Datos!BD19)/Datos!BD19),(Tasas!B19-Datos!BD19)/Datos!BD19," - ")</f>
        <v>0.17871462030090096</v>
      </c>
      <c r="I19" s="806">
        <f>IF(ISNUMBER((Tasas!C19-Datos!BE19)/Datos!BE19),(Tasas!C19-Datos!BE19)/Datos!BE19," - ")</f>
        <v>-0.11195059580021859</v>
      </c>
      <c r="J19" s="807">
        <f>IF(ISNUMBER((Tasas!D19-Datos!BF19)/Datos!BF19),(Tasas!D19-Datos!BF19)/Datos!BF19," - ")</f>
        <v>-0.2887785815561017</v>
      </c>
      <c r="K19" s="807">
        <f>IF(ISNUMBER((Tasas!E19-Datos!BG19)/Datos!BG19),(Tasas!E19-Datos!BG19)/Datos!BG19," - ")</f>
        <v>-8.2573091732838139E-2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3ZVgB3vQR127XO57yOafFz7XSCmrH//t5s8OTVlPjkPCR89RQvrMIEGcOOMYY8CQF/zanRsxXMalhGj6Lro0Q==" saltValue="3wxi6IrVsNxOXuzGqrNP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DEL CAMPO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1.0184162062615101</v>
      </c>
      <c r="C12" s="443">
        <f>IF(ISNUMBER(NºAsuntos!I12/NºAsuntos!G12),NºAsuntos!I12/NºAsuntos!G12," - ")</f>
        <v>2.065099457504521</v>
      </c>
      <c r="D12" s="444">
        <f>IF(ISNUMBER('Resol  Asuntos'!D12/NºAsuntos!G12),'Resol  Asuntos'!D12/NºAsuntos!G12," - ")</f>
        <v>0.25858951175406869</v>
      </c>
      <c r="E12" s="445">
        <f>IF(ISNUMBER((NºAsuntos!C12+NºAsuntos!E12)/NºAsuntos!G12),(NºAsuntos!C12+NºAsuntos!E12)/NºAsuntos!G12," - ")</f>
        <v>3.065099457504521</v>
      </c>
      <c r="G12" s="463"/>
    </row>
    <row r="13" spans="1:7" ht="14.25" thickTop="1" thickBot="1">
      <c r="A13" s="848" t="str">
        <f>Datos!A13</f>
        <v>TOTAL</v>
      </c>
      <c r="B13" s="858">
        <f>IF(ISNUMBER(NºAsuntos!G13/NºAsuntos!E13),NºAsuntos!G13/NºAsuntos!E13," - ")</f>
        <v>1.0201465201465201</v>
      </c>
      <c r="C13" s="859">
        <f>IF(ISNUMBER(NºAsuntos!I13/NºAsuntos!G13),NºAsuntos!I13/NºAsuntos!G13," - ")</f>
        <v>2.0610412926391382</v>
      </c>
      <c r="D13" s="860">
        <f>IF(ISNUMBER('Resol  Asuntos'!D13/NºAsuntos!G13),'Resol  Asuntos'!D13/NºAsuntos!G13," - ")</f>
        <v>0.26391382405745062</v>
      </c>
      <c r="E13" s="861">
        <f>IF(ISNUMBER((NºAsuntos!C13+NºAsuntos!E13)/NºAsuntos!G13),(NºAsuntos!C13+NºAsuntos!E13)/NºAsuntos!G13," - ")</f>
        <v>3.0610412926391382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1.0484581497797356</v>
      </c>
      <c r="C16" s="443">
        <f>IF(ISNUMBER(NºAsuntos!I16/NºAsuntos!G16),NºAsuntos!I16/NºAsuntos!G16," - ")</f>
        <v>1.1050420168067228</v>
      </c>
      <c r="D16" s="444">
        <f>IF(ISNUMBER('Resol  Asuntos'!D16/NºAsuntos!G16),'Resol  Asuntos'!D16/NºAsuntos!G16," - ")</f>
        <v>0.14705882352941177</v>
      </c>
      <c r="E16" s="445">
        <f>IF(ISNUMBER((NºAsuntos!C16+NºAsuntos!E16)/NºAsuntos!G16),(NºAsuntos!C16+NºAsuntos!E16)/NºAsuntos!G16," - ")</f>
        <v>2.0840336134453783</v>
      </c>
      <c r="G16" s="463"/>
    </row>
    <row r="17" spans="1:7" ht="13.5" thickBot="1">
      <c r="A17" s="402" t="str">
        <f>Datos!A17</f>
        <v>Jdos. Violencia contra la mujer</v>
      </c>
      <c r="B17" s="442">
        <f>IF(ISNUMBER(NºAsuntos!G17/NºAsuntos!E17),NºAsuntos!G17/NºAsuntos!E17," - ")</f>
        <v>1.1764705882352942</v>
      </c>
      <c r="C17" s="443">
        <f>IF(ISNUMBER(NºAsuntos!I17/NºAsuntos!G17),NºAsuntos!I17/NºAsuntos!G17," - ")</f>
        <v>2.5</v>
      </c>
      <c r="D17" s="444">
        <f>IF(ISNUMBER('Resol  Asuntos'!D17/NºAsuntos!G17),'Resol  Asuntos'!D17/NºAsuntos!G17," - ")</f>
        <v>0</v>
      </c>
      <c r="E17" s="445">
        <f>IF(ISNUMBER((NºAsuntos!C17+NºAsuntos!E17)/NºAsuntos!G17),(NºAsuntos!C17+NºAsuntos!E17)/NºAsuntos!G17," - ")</f>
        <v>3.5</v>
      </c>
      <c r="G17" s="463"/>
    </row>
    <row r="18" spans="1:7" ht="14.25" thickTop="1" thickBot="1">
      <c r="A18" s="848" t="str">
        <f>Datos!A18</f>
        <v>TOTAL</v>
      </c>
      <c r="B18" s="858">
        <f>IF(ISNUMBER(NºAsuntos!G18/NºAsuntos!E18),NºAsuntos!G18/NºAsuntos!E18," - ")</f>
        <v>1.0515759312320916</v>
      </c>
      <c r="C18" s="859">
        <f>IF(ISNUMBER(NºAsuntos!I18/NºAsuntos!G18),NºAsuntos!I18/NºAsuntos!G18," - ")</f>
        <v>1.1430517711171662</v>
      </c>
      <c r="D18" s="862">
        <f>IF(ISNUMBER('Resol  Asuntos'!D18/NºAsuntos!G18),'Resol  Asuntos'!D18/NºAsuntos!G18," - ")</f>
        <v>0.14305177111716622</v>
      </c>
      <c r="E18" s="861">
        <f>IF(ISNUMBER((NºAsuntos!C18+NºAsuntos!E18)/NºAsuntos!G18),(NºAsuntos!C18+NºAsuntos!E18)/NºAsuntos!G18," - ")</f>
        <v>2.122615803814714</v>
      </c>
      <c r="G18" s="463"/>
    </row>
    <row r="19" spans="1:7" ht="15.75" customHeight="1" thickTop="1" thickBot="1">
      <c r="A19" s="793" t="str">
        <f>Datos!A19</f>
        <v>TOTAL JURISDICCIONES</v>
      </c>
      <c r="B19" s="808">
        <f>IF(ISNUMBER(NºAsuntos!G19/NºAsuntos!E19),NºAsuntos!G19/NºAsuntos!E19," - ")</f>
        <v>1.037781350482315</v>
      </c>
      <c r="C19" s="809">
        <f>IF(ISNUMBER(NºAsuntos!I19/NºAsuntos!G19),NºAsuntos!I19/NºAsuntos!G19," - ")</f>
        <v>1.5391169635941131</v>
      </c>
      <c r="D19" s="810">
        <f>IF(ISNUMBER('Resol  Asuntos'!D19/NºAsuntos!G19),'Resol  Asuntos'!D19/NºAsuntos!G19," - ")</f>
        <v>0.19519752130131682</v>
      </c>
      <c r="E19" s="811">
        <f>IF(ISNUMBER((NºAsuntos!C19+NºAsuntos!E19)/NºAsuntos!G19),(NºAsuntos!C19+NºAsuntos!E19)/NºAsuntos!G19," - ")</f>
        <v>2.5274980635166537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hVCl42wxXyacWZzLe7oA4lZ+UuOF/Zfuja4eZ/6DY2vSNWuh+rmItLlY88glFOH9djJPDvDYx9NZYVlOoF1zg==" saltValue="cAEw82r+SnzBQcQO3dau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DEL CAMPO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6</v>
      </c>
      <c r="AB10" s="334">
        <f>IF(ISNUMBER(Datos!R10),Datos!R10," - ")</f>
        <v>13</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4.5</v>
      </c>
      <c r="AN10" s="244">
        <f>IF(ISNUMBER('Resol  Asuntos'!D10/NºAsuntos!G10),'Resol  Asuntos'!D10/NºAsuntos!G10," - ")</f>
        <v>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187</v>
      </c>
      <c r="Y12" s="334">
        <f t="shared" si="0"/>
        <v>187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143</v>
      </c>
      <c r="AJ12" s="229" t="str">
        <f>IF(ISNUMBER(Datos!BW12),Datos!BW12," - ")</f>
        <v xml:space="preserve"> - </v>
      </c>
      <c r="AK12" s="228" t="str">
        <f>IF(ISNUMBER(Datos!BX12),Datos!BX12," - ")</f>
        <v xml:space="preserve"> - </v>
      </c>
      <c r="AL12" s="243">
        <f>IF(ISNUMBER(NºAsuntos!G12/NºAsuntos!E12),NºAsuntos!G12/NºAsuntos!E12," - ")</f>
        <v>1.0184162062615101</v>
      </c>
      <c r="AM12" s="260">
        <f>IF(ISNUMBER(((NºAsuntos!I12/NºAsuntos!G12)*11)/factor_trimestre),((NºAsuntos!I12/NºAsuntos!G12)*11)/factor_trimestre," - ")</f>
        <v>6.1952983725135633</v>
      </c>
      <c r="AN12" s="244">
        <f>IF(ISNUMBER('Resol  Asuntos'!D12/NºAsuntos!G12),'Resol  Asuntos'!D12/NºAsuntos!G12," - ")</f>
        <v>0.25858951175406869</v>
      </c>
      <c r="AO12" s="245">
        <f>IF(ISNUMBER((NºAsuntos!C12+NºAsuntos!E12)/NºAsuntos!G12),(NºAsuntos!C12+NºAsuntos!E12)/NºAsuntos!G12," - ")</f>
        <v>3.065099457504521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155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189</v>
      </c>
      <c r="Y13" s="868">
        <f t="shared" si="4"/>
        <v>193</v>
      </c>
      <c r="Z13" s="868">
        <f t="shared" si="4"/>
        <v>0</v>
      </c>
      <c r="AA13" s="868">
        <f t="shared" si="4"/>
        <v>6</v>
      </c>
      <c r="AB13" s="868">
        <f t="shared" si="4"/>
        <v>1855</v>
      </c>
      <c r="AC13" s="868">
        <f t="shared" si="4"/>
        <v>19</v>
      </c>
      <c r="AD13" s="868">
        <f t="shared" si="4"/>
        <v>0</v>
      </c>
      <c r="AE13" s="872">
        <f t="shared" si="4"/>
        <v>0</v>
      </c>
      <c r="AF13" s="865">
        <f t="shared" si="4"/>
        <v>0</v>
      </c>
      <c r="AG13" s="873">
        <f t="shared" si="4"/>
        <v>0</v>
      </c>
      <c r="AH13" s="870">
        <f t="shared" si="4"/>
        <v>0</v>
      </c>
      <c r="AI13" s="865">
        <f t="shared" si="4"/>
        <v>147</v>
      </c>
      <c r="AJ13" s="867">
        <f t="shared" si="4"/>
        <v>0</v>
      </c>
      <c r="AK13" s="870">
        <f>SUBTOTAL(9,AK9:AK12)</f>
        <v>0</v>
      </c>
      <c r="AL13" s="874">
        <f>IF(ISNUMBER(NºAsuntos!G13/NºAsuntos!E13),NºAsuntos!G13/NºAsuntos!E13," - ")</f>
        <v>1.0201465201465201</v>
      </c>
      <c r="AM13" s="874">
        <f>IF(ISNUMBER(((NºAsuntos!I13/NºAsuntos!G13)*11)/factor_trimestre),((NºAsuntos!I13/NºAsuntos!G13)*11)/factor_trimestre," - ")</f>
        <v>6.1831238779174145</v>
      </c>
      <c r="AN13" s="875">
        <f>IF(ISNUMBER('Resol  Asuntos'!D13/NºAsuntos!G13),'Resol  Asuntos'!D13/NºAsuntos!G13," - ")</f>
        <v>0.26391382405745062</v>
      </c>
      <c r="AO13" s="876">
        <f>IF(ISNUMBER((NºAsuntos!C13+NºAsuntos!E13)/NºAsuntos!G13),(NºAsuntos!C13+NºAsuntos!E13)/NºAsuntos!G13," - ")</f>
        <v>3.0610412926391382</v>
      </c>
      <c r="AP13" s="877" t="str">
        <f t="shared" si="2"/>
        <v xml:space="preserve"> - </v>
      </c>
      <c r="AQ13" s="877">
        <f>IF(ISNUMBER((H13-W13+K13)/(F13)),(H13-W13+K13)/(F13)," - ")</f>
        <v>-0.5714285714285714</v>
      </c>
      <c r="AR13" s="878">
        <f>IF(ISNUMBER((Datos!P13-Datos!Q13)/(Datos!R13-Datos!P13+Datos!Q13)),(Datos!P13-Datos!Q13)/(Datos!R13-Datos!P13+Datos!Q13)," - ")</f>
        <v>-1.7998941238750663E-2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822</v>
      </c>
      <c r="G16" s="333">
        <f>IF(ISNUMBER(IF(D_I="SI",Datos!I16,Datos!I16+Datos!AC16)),IF(D_I="SI",Datos!I16,Datos!I16+Datos!AC16)," - ")</f>
        <v>807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714</v>
      </c>
      <c r="X16" s="226">
        <f>IF(ISNUMBER(Datos!Q16),Datos!Q16," - ")</f>
        <v>16</v>
      </c>
      <c r="Y16" s="334">
        <f t="shared" ref="Y16:Y17" si="7">SUM(W16:X16)</f>
        <v>730</v>
      </c>
      <c r="Z16" s="335" t="str">
        <f>IF(ISNUMBER(Datos!CC16),Datos!CC16," - ")</f>
        <v xml:space="preserve"> - </v>
      </c>
      <c r="AA16" s="332">
        <f>IF(ISNUMBER(IF(D_I="SI",Datos!L16,Datos!L16+Datos!AF16)),IF(D_I="SI",Datos!L16,Datos!L16+Datos!AF16)," - ")</f>
        <v>789</v>
      </c>
      <c r="AB16" s="334">
        <f>IF(ISNUMBER(Datos!R16),Datos!R16," - ")</f>
        <v>88</v>
      </c>
      <c r="AC16" s="334">
        <f t="shared" si="6"/>
        <v>877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105</v>
      </c>
      <c r="AJ16" s="231" t="str">
        <f>IF(ISNUMBER(Datos!BW16),Datos!BW16," - ")</f>
        <v xml:space="preserve"> - </v>
      </c>
      <c r="AK16" s="232" t="str">
        <f>IF(ISNUMBER(Datos!BX16),Datos!BX16," - ")</f>
        <v xml:space="preserve"> - </v>
      </c>
      <c r="AL16" s="243">
        <f>IF(ISNUMBER(NºAsuntos!G16/NºAsuntos!E16),NºAsuntos!G16/NºAsuntos!E16," - ")</f>
        <v>1.0484581497797356</v>
      </c>
      <c r="AM16" s="260">
        <f>IF(ISNUMBER(((NºAsuntos!I16/NºAsuntos!G16)*11)/factor_trimestre),((NºAsuntos!I16/NºAsuntos!G16)*11)/factor_trimestre," - ")</f>
        <v>3.3151260504201687</v>
      </c>
      <c r="AN16" s="244">
        <f>IF(ISNUMBER('Resol  Asuntos'!D16/NºAsuntos!G16),'Resol  Asuntos'!D16/NºAsuntos!G16," - ")</f>
        <v>0.14705882352941177</v>
      </c>
      <c r="AO16" s="245">
        <f>IF(ISNUMBER((NºAsuntos!C16+NºAsuntos!E16)/NºAsuntos!G16),(NºAsuntos!C16+NºAsuntos!E16)/NºAsuntos!G16," - ")</f>
        <v>2.0840336134453783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1</v>
      </c>
      <c r="Y17" s="334">
        <f t="shared" si="7"/>
        <v>21</v>
      </c>
      <c r="Z17" s="335" t="str">
        <f>IF(ISNUMBER(Datos!CC17),Datos!CC17," - ")</f>
        <v xml:space="preserve"> - </v>
      </c>
      <c r="AA17" s="332">
        <f>IF(ISNUMBER(Datos!L17),Datos!L17,"-")</f>
        <v>50</v>
      </c>
      <c r="AB17" s="334">
        <f>IF(ISNUMBER(Datos!R17),Datos!R17," - ")</f>
        <v>0</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1.1764705882352942</v>
      </c>
      <c r="AM17" s="260">
        <f>IF(ISNUMBER(((NºAsuntos!I17/NºAsuntos!G17)*11)/factor_trimestre),((NºAsuntos!I17/NºAsuntos!G17)*11)/factor_trimestre," - ")</f>
        <v>7.5</v>
      </c>
      <c r="AN17" s="244">
        <f>IF(ISNUMBER('Resol  Asuntos'!D17/NºAsuntos!G17),'Resol  Asuntos'!D17/NºAsuntos!G17," - ")</f>
        <v>0</v>
      </c>
      <c r="AO17" s="245">
        <f>IF(ISNUMBER((NºAsuntos!C17+NºAsuntos!E17)/NºAsuntos!G17),(NºAsuntos!C17+NºAsuntos!E17)/NºAsuntos!G17," - ")</f>
        <v>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822</v>
      </c>
      <c r="G18" s="866">
        <f>SUBTOTAL(9,G15:G17)</f>
        <v>860</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734</v>
      </c>
      <c r="X18" s="867">
        <f t="shared" si="11"/>
        <v>17</v>
      </c>
      <c r="Y18" s="868">
        <f t="shared" si="11"/>
        <v>751</v>
      </c>
      <c r="Z18" s="868">
        <f t="shared" si="11"/>
        <v>0</v>
      </c>
      <c r="AA18" s="868">
        <f t="shared" si="11"/>
        <v>839</v>
      </c>
      <c r="AB18" s="868">
        <f t="shared" si="11"/>
        <v>88</v>
      </c>
      <c r="AC18" s="868">
        <f t="shared" si="11"/>
        <v>927</v>
      </c>
      <c r="AD18" s="868">
        <f t="shared" si="11"/>
        <v>0</v>
      </c>
      <c r="AE18" s="872">
        <f t="shared" si="11"/>
        <v>0</v>
      </c>
      <c r="AF18" s="865">
        <f t="shared" si="11"/>
        <v>0</v>
      </c>
      <c r="AG18" s="873">
        <f t="shared" si="11"/>
        <v>0</v>
      </c>
      <c r="AH18" s="870">
        <f t="shared" si="11"/>
        <v>0</v>
      </c>
      <c r="AI18" s="865">
        <f t="shared" si="11"/>
        <v>105</v>
      </c>
      <c r="AJ18" s="867">
        <f t="shared" si="11"/>
        <v>0</v>
      </c>
      <c r="AK18" s="870">
        <f t="shared" si="11"/>
        <v>0</v>
      </c>
      <c r="AL18" s="874">
        <f>IF(ISNUMBER(NºAsuntos!G18/NºAsuntos!E18),NºAsuntos!G18/NºAsuntos!E18," - ")</f>
        <v>1.0515759312320916</v>
      </c>
      <c r="AM18" s="874">
        <f>IF(ISNUMBER(((NºAsuntos!I18/NºAsuntos!G18)*11)/factor_trimestre),((NºAsuntos!I18/NºAsuntos!G18)*11)/factor_trimestre," - ")</f>
        <v>3.4291553133514987</v>
      </c>
      <c r="AN18" s="875">
        <f>IF(ISNUMBER('Resol  Asuntos'!D18/NºAsuntos!G18),'Resol  Asuntos'!D18/NºAsuntos!G18," - ")</f>
        <v>0.14305177111716622</v>
      </c>
      <c r="AO18" s="876">
        <f>IF(ISNUMBER((NºAsuntos!C18+NºAsuntos!E18)/NºAsuntos!G18),(NºAsuntos!C18+NºAsuntos!E18)/NºAsuntos!G18," - ")</f>
        <v>2.122615803814714</v>
      </c>
      <c r="AP18" s="877" t="str">
        <f t="shared" si="2"/>
        <v xml:space="preserve"> - </v>
      </c>
      <c r="AQ18" s="877">
        <f>IF(ISNUMBER((H18-W18+K18)/(F18)),(H18-W18+K18)/(F18)," - ")</f>
        <v>-0.89294403892944041</v>
      </c>
      <c r="AR18" s="878">
        <f>IF(ISNUMBER((Datos!P18-Datos!Q18)/(Datos!R18-Datos!P18+Datos!Q18)),(Datos!P18-Datos!Q18)/(Datos!R18-Datos!P18+Datos!Q18)," - ")</f>
        <v>-1.1235955056179775E-2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829</v>
      </c>
      <c r="G19" s="821">
        <f t="shared" si="13"/>
        <v>867</v>
      </c>
      <c r="H19" s="820">
        <f t="shared" si="13"/>
        <v>0</v>
      </c>
      <c r="I19" s="822">
        <f t="shared" si="13"/>
        <v>0</v>
      </c>
      <c r="J19" s="822">
        <f t="shared" si="13"/>
        <v>0</v>
      </c>
      <c r="K19" s="881">
        <f t="shared" si="13"/>
        <v>0</v>
      </c>
      <c r="L19" s="822">
        <f t="shared" si="13"/>
        <v>171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738</v>
      </c>
      <c r="X19" s="821">
        <f t="shared" si="14"/>
        <v>206</v>
      </c>
      <c r="Y19" s="828">
        <f t="shared" si="14"/>
        <v>944</v>
      </c>
      <c r="Z19" s="828">
        <f t="shared" si="14"/>
        <v>0</v>
      </c>
      <c r="AA19" s="828">
        <f t="shared" si="14"/>
        <v>845</v>
      </c>
      <c r="AB19" s="828">
        <f t="shared" si="14"/>
        <v>1943</v>
      </c>
      <c r="AC19" s="828">
        <f t="shared" si="14"/>
        <v>946</v>
      </c>
      <c r="AD19" s="828">
        <f t="shared" si="14"/>
        <v>0</v>
      </c>
      <c r="AE19" s="830">
        <f t="shared" si="14"/>
        <v>0</v>
      </c>
      <c r="AF19" s="831">
        <f t="shared" si="14"/>
        <v>0</v>
      </c>
      <c r="AG19" s="832">
        <f t="shared" si="14"/>
        <v>0</v>
      </c>
      <c r="AH19" s="830">
        <f t="shared" si="14"/>
        <v>0</v>
      </c>
      <c r="AI19" s="820">
        <f t="shared" si="14"/>
        <v>252</v>
      </c>
      <c r="AJ19" s="820">
        <f t="shared" si="14"/>
        <v>0</v>
      </c>
      <c r="AK19" s="830">
        <f t="shared" si="14"/>
        <v>0</v>
      </c>
      <c r="AL19" s="884">
        <f>IF(ISNUMBER(NºAsuntos!G19/NºAsuntos!E19),NºAsuntos!G19/NºAsuntos!E19," - ")</f>
        <v>1.037781350482315</v>
      </c>
      <c r="AM19" s="885">
        <f>IF(ISNUMBER(((NºAsuntos!I19/NºAsuntos!G19)*11)/factor_trimestre),((NºAsuntos!I19/NºAsuntos!G19)*11)/factor_trimestre," - ")</f>
        <v>4.6173508907823395</v>
      </c>
      <c r="AN19" s="885">
        <f>IF(ISNUMBER('Resol  Asuntos'!D19/NºAsuntos!G19),'Resol  Asuntos'!D19/NºAsuntos!G19," - ")</f>
        <v>0.19519752130131682</v>
      </c>
      <c r="AO19" s="886">
        <f>IF(ISNUMBER((NºAsuntos!C19+NºAsuntos!E19)/NºAsuntos!G19),(NºAsuntos!C19+NºAsuntos!E19)/NºAsuntos!G19," - ")</f>
        <v>2.5274980635166537</v>
      </c>
      <c r="AP19" s="887" t="str">
        <f t="shared" si="2"/>
        <v xml:space="preserve"> - </v>
      </c>
      <c r="AQ19" s="888">
        <f>IF(OR(ISNUMBER(FIND("01",Criterios!A8,1)),ISNUMBER(FIND("02",Criterios!A8,1)),ISNUMBER(FIND("03",Criterios!A8,1)),ISNUMBER(FIND("04",Criterios!A8,1))),(I19-W19+K19)/(F19-K19),(H19-W19+K19)/(F19-K19))</f>
        <v>-0.89022919179734616</v>
      </c>
      <c r="AR19" s="889">
        <f>IF(ISNUMBER((Datos!P19-Datos!Q19)/(Datos!R19-Datos!P19+Datos!Q19)),(Datos!P19-Datos!Q19)/(Datos!R19-Datos!P19+Datos!Q19)," - ")</f>
        <v>-1.7694641051567241E-2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470.54046938954502</v>
      </c>
      <c r="G21" s="253">
        <f>IF(ISNUMBER(STDEV(G8:G18)),STDEV(G8:G18),"-")</f>
        <v>445.08560974266516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391.55740319907119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66.012120099266625</v>
      </c>
      <c r="AJ21" s="252">
        <f t="shared" si="18"/>
        <v>0</v>
      </c>
      <c r="AK21" s="254">
        <f t="shared" si="18"/>
        <v>0</v>
      </c>
      <c r="AL21" s="249">
        <f t="shared" si="18"/>
        <v>0.1248484707854837</v>
      </c>
      <c r="AM21" s="250">
        <f t="shared" si="18"/>
        <v>1.6985167842062998</v>
      </c>
      <c r="AN21" s="250">
        <f t="shared" si="18"/>
        <v>0.35525041086544074</v>
      </c>
      <c r="AO21" s="251">
        <f t="shared" si="18"/>
        <v>0.57506463233341043</v>
      </c>
      <c r="AP21" s="291" t="str">
        <f t="shared" si="18"/>
        <v>-</v>
      </c>
      <c r="AQ21" s="292">
        <f t="shared" si="18"/>
        <v>0.2273457673262278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qvi76jNJGhdpGtIbaWMJ0kts2VhHrBIY1DgDJyGV6AGdJ9SUEh26dDciTmyShM39iNe8AqQSPhrhyCtyKN3oA==" saltValue="0NW6T3B3wqAjRi8DjoAM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DEL CAMPO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1.3333333333333333</v>
      </c>
      <c r="E10" s="348">
        <f>IF(ISNUMBER((Datos!J10-Datos!T10)/Datos!T10),(Datos!J10-Datos!T10)/Datos!T10," - ")</f>
        <v>-0.4</v>
      </c>
      <c r="F10" s="348">
        <f>IF(ISNUMBER((Datos!K10-Datos!U10)/Datos!U10),(Datos!K10-Datos!U10)/Datos!U10," - ")</f>
        <v>0</v>
      </c>
      <c r="G10" s="349">
        <f>IF(ISNUMBER((Datos!L10-Datos!V10)/Datos!V10),(Datos!L10-Datos!V10)/Datos!V10," - ")</f>
        <v>0.5</v>
      </c>
      <c r="H10" s="230">
        <f>IF(ISNUMBER((Datos!M10-Datos!W10)/Datos!W10),(Datos!M10-Datos!W10)/Datos!W10," - ")</f>
        <v>0</v>
      </c>
      <c r="I10" s="350">
        <f>IF(ISNUMBER((Tasas!C10-Datos!BE10)/Datos!BE10),(Tasas!C10-Datos!BE10)/Datos!BE10," - ")</f>
        <v>0.5</v>
      </c>
      <c r="J10" s="349">
        <f>IF(ISNUMBER((Tasas!D10-Datos!BF10)/Datos!BF10),(Tasas!D10-Datos!BF10)/Datos!BF10," - ")</f>
        <v>0</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0.38834951456310679</v>
      </c>
      <c r="I12" s="350">
        <f>IF(ISNUMBER((Tasas!C12-Datos!BE12)/Datos!BE12),(Tasas!C12-Datos!BE12)/Datos!BE12," - ")</f>
        <v>-0.16584007614652052</v>
      </c>
      <c r="J12" s="349">
        <f>IF(ISNUMBER((Tasas!D12-Datos!BF12)/Datos!BF12),(Tasas!D12-Datos!BF12)/Datos!BF12," - ")</f>
        <v>-0.47350243552775201</v>
      </c>
      <c r="K12" s="351">
        <f>IF(ISNUMBER((Tasas!E12-Datos!BG12)/Datos!BG12),(Tasas!E12-Datos!BG12)/Datos!BG12," - ")</f>
        <v>-0.1181254266123211</v>
      </c>
      <c r="M12" t="e">
        <f>IF(Monitorios="SI",Datos!CE12,0)</f>
        <v>#REF!</v>
      </c>
      <c r="N12" t="e">
        <f>IF(Monitorios="SI",Datos!CF12,0)</f>
        <v>#REF!</v>
      </c>
      <c r="O12" t="e">
        <f>IF(Monitorios="SI",Datos!CG12,0)</f>
        <v>#REF!</v>
      </c>
      <c r="P12" t="e">
        <f>IF(Monitorios="SI",Datos!CH12,0)</f>
        <v>#REF!</v>
      </c>
      <c r="Q12">
        <f>IF(J_V="SI",0,Datos!AG12)</f>
        <v>54</v>
      </c>
      <c r="R12">
        <f>IF(J_V="SI",0,Datos!AH12)</f>
        <v>23</v>
      </c>
      <c r="S12">
        <f>IF(J_V="SI",0,Datos!AI12)</f>
        <v>22</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0.37383177570093457</v>
      </c>
      <c r="I13" s="357">
        <f>IF(ISNUMBER((Tasas!C13-Datos!BE13)/Datos!BE13),(Tasas!C13-Datos!BE13)/Datos!BE13," - ")</f>
        <v>-0.16310344662204179</v>
      </c>
      <c r="J13" s="355">
        <f>IF(ISNUMBER((Tasas!D13-Datos!BF13)/Datos!BF13),(Tasas!D13-Datos!BF13)/Datos!BF13," - ")</f>
        <v>-0.46750131075133855</v>
      </c>
      <c r="K13" s="358">
        <f>IF(ISNUMBER((Tasas!E13-Datos!BG13)/Datos!BG13),(Tasas!E13-Datos!BG13)/Datos!BG13," - ")</f>
        <v>-0.11600074132777259</v>
      </c>
      <c r="M13" t="e">
        <f>IF(Monitorios="SI",Datos!CE13,0)</f>
        <v>#REF!</v>
      </c>
      <c r="N13" t="e">
        <f>IF(Monitorios="SI",Datos!CF13,0)</f>
        <v>#REF!</v>
      </c>
      <c r="O13" t="e">
        <f>IF(Monitorios="SI",Datos!CG13,0)</f>
        <v>#REF!</v>
      </c>
      <c r="P13" t="e">
        <f>IF(Monitorios="SI",Datos!CH13,0)</f>
        <v>#REF!</v>
      </c>
      <c r="Q13">
        <f>IF(J_V="SI",0,Datos!AG13)</f>
        <v>54</v>
      </c>
      <c r="R13">
        <f>IF(J_V="SI",0,Datos!AH13)</f>
        <v>23</v>
      </c>
      <c r="S13">
        <f>IF(J_V="SI",0,Datos!AI13)</f>
        <v>22</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0.25116279069767444</v>
      </c>
      <c r="E16" s="348">
        <f>IF(ISNUMBER(
   IF(D_I="SI",(Datos!J16-Datos!T16)/Datos!T16,(Datos!J16+Datos!AD16-(Datos!T16+Datos!AL16))/(Datos!T16+Datos!AL16))
     ),IF(D_I="SI",(Datos!J16-Datos!T16)/Datos!T16,(Datos!J16+Datos!AD16-(Datos!T16+Datos!AL16))/(Datos!T16+Datos!AL16))," - ")</f>
        <v>0.15619694397283532</v>
      </c>
      <c r="F16" s="348">
        <f>IF(ISNUMBER(
   IF(D_I="SI",(Datos!K16-Datos!U16)/Datos!U16,(Datos!K16+Datos!AE16-(Datos!U16+Datos!AM16))/(Datos!U16+Datos!AM16))
     ),IF(D_I="SI",(Datos!K16-Datos!U16)/Datos!U16,(Datos!K16+Datos!AE16-(Datos!U16+Datos!AM16))/(Datos!U16+Datos!AM16))," - ")</f>
        <v>0.25483304042179261</v>
      </c>
      <c r="G16" s="349">
        <f>IF(ISNUMBER(
   IF(D_I="SI",(Datos!L16-Datos!V16)/Datos!V16,(Datos!L16+Datos!AF16-(Datos!V16+Datos!AN16))/(Datos!V16+Datos!AN16))
     ),IF(D_I="SI",(Datos!L16-Datos!V16)/Datos!V16,(Datos!L16+Datos!AF16-(Datos!V16+Datos!AN16))/(Datos!V16+Datos!AN16))," - ")</f>
        <v>0.22897196261682243</v>
      </c>
      <c r="H16" s="230">
        <f>IF(ISNUMBER((Datos!M16-Datos!W16)/Datos!W16),(Datos!M16-Datos!W16)/Datos!W16," - ")</f>
        <v>0.66666666666666663</v>
      </c>
      <c r="I16" s="350">
        <f>IF(ISNUMBER((Tasas!C16-Datos!BE16)/Datos!BE16),(Tasas!C16-Datos!BE16)/Datos!BE16," - ")</f>
        <v>-2.0609178250739549E-2</v>
      </c>
      <c r="J16" s="349">
        <f>IF(ISNUMBER((Tasas!D16-Datos!BF16)/Datos!BF16),(Tasas!D16-Datos!BF16)/Datos!BF16," - ")</f>
        <v>0.32819794584500467</v>
      </c>
      <c r="K16" s="351">
        <f>IF(ISNUMBER((Tasas!E16-Datos!BG16)/Datos!BG16),(Tasas!E16-Datos!BG16)/Datos!BG16," - ")</f>
        <v>-3.9047709845688665E-2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-7.0175438596491224E-2</v>
      </c>
      <c r="E17" s="348">
        <f>IF(ISNUMBER(
   IF(D_I="SI",(Datos!J17-Datos!T17)/Datos!T17,(Datos!J17+Datos!AD17-(Datos!T17+Datos!AL17))/(Datos!T17+Datos!AL17))
     ),IF(D_I="SI",(Datos!J17-Datos!T17)/Datos!T17,(Datos!J17+Datos!AD17-(Datos!T17+Datos!AL17))/(Datos!T17+Datos!AL17))," - ")</f>
        <v>-0.45161290322580644</v>
      </c>
      <c r="F17" s="348">
        <f>IF(ISNUMBER(
   IF(D_I="SI",(Datos!K17-Datos!U17)/Datos!U17,(Datos!K17+Datos!AE17-(Datos!U17+Datos!AM17))/(Datos!U17+Datos!AM17))
     ),IF(D_I="SI",(Datos!K17-Datos!U17)/Datos!U17,(Datos!K17+Datos!AE17-(Datos!U17+Datos!AM17))/(Datos!U17+Datos!AM17))," - ")</f>
        <v>-0.2857142857142857</v>
      </c>
      <c r="G17" s="349">
        <f>IF(ISNUMBER(
   IF(D_I="SI",(Datos!L17-Datos!V17)/Datos!V17,(Datos!L17+Datos!AF17-(Datos!V17+Datos!AN17))/(Datos!V17+Datos!AN17))
     ),IF(D_I="SI",(Datos!L17-Datos!V17)/Datos!V17,(Datos!L17+Datos!AF17-(Datos!V17+Datos!AN17))/(Datos!V17+Datos!AN17))," - ")</f>
        <v>-0.16666666666666666</v>
      </c>
      <c r="H17" s="230" t="str">
        <f>IF(ISNUMBER((Datos!M17-Datos!W17)/Datos!W17),(Datos!M17-Datos!W17)/Datos!W17," - ")</f>
        <v xml:space="preserve"> - </v>
      </c>
      <c r="I17" s="350">
        <f>IF(ISNUMBER((Tasas!C17-Datos!BE17)/Datos!BE17),(Tasas!C17-Datos!BE17)/Datos!BE17," - ")</f>
        <v>0.16666666666666671</v>
      </c>
      <c r="J17" s="349" t="str">
        <f>IF(ISNUMBER((Tasas!D17-Datos!BF17)/Datos!BF17),(Tasas!D17-Datos!BF17)/Datos!BF17," - ")</f>
        <v xml:space="preserve"> - </v>
      </c>
      <c r="K17" s="351">
        <f>IF(ISNUMBER((Tasas!E17-Datos!BG17)/Datos!BG17),(Tasas!E17-Datos!BG17)/Datos!BG17," - ")</f>
        <v>0.11363636363636366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0.22507122507122507</v>
      </c>
      <c r="E18" s="354">
        <f>IF(ISNUMBER(
   IF(D_I="SI",(Datos!J18-Datos!T18)/Datos!T18,(Datos!J18+Datos!AD18-(Datos!T18+Datos!AL18))/(Datos!T18+Datos!AL18))
     ),IF(D_I="SI",(Datos!J18-Datos!T18)/Datos!T18,(Datos!J18+Datos!AD18-(Datos!T18+Datos!AL18))/(Datos!T18+Datos!AL18))," - ")</f>
        <v>0.12580645161290321</v>
      </c>
      <c r="F18" s="354">
        <f>IF(ISNUMBER(
   IF(D_I="SI",(Datos!K18-Datos!U18)/Datos!U18,(Datos!K18+Datos!AE18-(Datos!U18+Datos!AM18))/(Datos!U18+Datos!AM18))
     ),IF(D_I="SI",(Datos!K18-Datos!U18)/Datos!U18,(Datos!K18+Datos!AE18-(Datos!U18+Datos!AM18))/(Datos!U18+Datos!AM18))," - ")</f>
        <v>0.22948073701842547</v>
      </c>
      <c r="G18" s="355">
        <f>IF(ISNUMBER(
   IF(D_I="SI",(Datos!L18-Datos!V18)/Datos!V18,(Datos!L18+Datos!AF18-(Datos!V18+Datos!AN18))/(Datos!V18+Datos!AN18))
     ),IF(D_I="SI",(Datos!L18-Datos!V18)/Datos!V18,(Datos!L18+Datos!AF18-(Datos!V18+Datos!AN18))/(Datos!V18+Datos!AN18))," - ")</f>
        <v>0.19515669515669515</v>
      </c>
      <c r="H18" s="356">
        <f>IF(ISNUMBER((Datos!M18-Datos!W18)/Datos!W18),(Datos!M18-Datos!W18)/Datos!W18," - ")</f>
        <v>0.66666666666666663</v>
      </c>
      <c r="I18" s="357">
        <f>IF(ISNUMBER((Tasas!C18-Datos!BE18)/Datos!BE18),(Tasas!C18-Datos!BE18)/Datos!BE18," - ")</f>
        <v>-2.7917510887538168E-2</v>
      </c>
      <c r="J18" s="355">
        <f>IF(ISNUMBER((Tasas!D18-Datos!BF18)/Datos!BF18),(Tasas!D18-Datos!BF18)/Datos!BF18," - ")</f>
        <v>0.35558583106267033</v>
      </c>
      <c r="K18" s="358">
        <f>IF(ISNUMBER((Tasas!E18-Datos!BG18)/Datos!BG18),(Tasas!E18-Datos!BG18)/Datos!BG18," - ")</f>
        <v>-4.145110826219036E-2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0.1841642228739003</v>
      </c>
      <c r="E19" s="363">
        <f>IF(ISNUMBER(
   IF(J_V="SI",(Datos!J19-Datos!T19)/Datos!T19,(Datos!J19+Datos!Z19-(Datos!T19+Datos!AH19))/(Datos!T19+Datos!AH19))
     ),IF(J_V="SI",(Datos!J19-Datos!T19)/Datos!T19,(Datos!J19+Datos!Z19-(Datos!T19+Datos!AH19))/(Datos!T19+Datos!AH19))," - ")</f>
        <v>4.0133779264214048E-2</v>
      </c>
      <c r="F19" s="363">
        <f>IF(ISNUMBER(
   IF(J_V="SI",(Datos!K19-Datos!U19)/Datos!U19,(Datos!K19+Datos!AA19-(Datos!U19+Datos!AI19))/(Datos!U19+Datos!AI19))
     ),IF(J_V="SI",(Datos!K19-Datos!U19)/Datos!U19,(Datos!K19+Datos!AA19-(Datos!U19+Datos!AI19))/(Datos!U19+Datos!AI19))," - ")</f>
        <v>0.22602089268755934</v>
      </c>
      <c r="G19" s="364">
        <f>IF(ISNUMBER(
   IF(J_V="SI",(Datos!L19-Datos!V19)/Datos!V19,(Datos!L19+Datos!AB19-(Datos!V19+Datos!AJ19))/(Datos!V19+Datos!AJ19))
     ),IF(J_V="SI",(Datos!L19-Datos!V19)/Datos!V19,(Datos!L19+Datos!AB19-(Datos!V19+Datos!AJ19))/(Datos!V19+Datos!AJ19))," - ")</f>
        <v>8.8767123287671237E-2</v>
      </c>
      <c r="H19" s="365">
        <f>IF(ISNUMBER((Datos!M19-Datos!W19)/Datos!W19),(Datos!M19-Datos!W19)/Datos!W19," - ")</f>
        <v>0.4823529411764706</v>
      </c>
      <c r="I19" s="362">
        <f>IF(ISNUMBER((Tasas!C19-Datos!BE19)/Datos!BE19),(Tasas!C19-Datos!BE19)/Datos!BE19," - ")</f>
        <v>-0.11195059580021859</v>
      </c>
      <c r="J19" s="363">
        <f>IF(ISNUMBER((Tasas!D19-Datos!BF19)/Datos!BF19),(Tasas!D19-Datos!BF19)/Datos!BF19," - ")</f>
        <v>-0.2887785815561017</v>
      </c>
      <c r="K19" s="364">
        <f>IF(ISNUMBER((Tasas!E19-Datos!BG19)/Datos!BG19),(Tasas!E19-Datos!BG19)/Datos!BG19," - ")</f>
        <v>-8.2573091732838139E-2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0.61646062841647076</v>
      </c>
      <c r="E21" s="278">
        <f t="shared" si="1"/>
        <v>0.32815911543814347</v>
      </c>
      <c r="F21" s="278">
        <f t="shared" si="1"/>
        <v>0.25124589594386715</v>
      </c>
      <c r="G21" s="279">
        <f t="shared" si="1"/>
        <v>0.27377296318541738</v>
      </c>
      <c r="H21" s="285">
        <f t="shared" si="1"/>
        <v>0.27441671019268937</v>
      </c>
      <c r="I21" s="277">
        <f t="shared" si="1"/>
        <v>0.25264539193717156</v>
      </c>
      <c r="J21" s="278">
        <f t="shared" si="1"/>
        <v>0.40733425598200573</v>
      </c>
      <c r="K21" s="279">
        <f t="shared" si="1"/>
        <v>0.14537233370872404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K/cCG4ktLl2O1tdWn/S82ALxzsJYqFmt1gK1BDxLyoRyCgY8z84tvFSli5o2CTSql1PUQ25olu9qK6zpzG5zw==" saltValue="5K6J22CVzUkFseXYiI3m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